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ana Grosso\Documents\2020\Manual ALGEFIT\Versión 09 de abril\"/>
    </mc:Choice>
  </mc:AlternateContent>
  <xr:revisionPtr revIDLastSave="0" documentId="13_ncr:1_{802ACDA3-F7A8-4BF0-BF5B-4763A22C285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(1) CARGA DE DATOS" sheetId="16" r:id="rId1"/>
    <sheet name="(2) INDICADORES SLG" sheetId="36" r:id="rId2"/>
    <sheet name="(3) PRIORIDADES" sheetId="37" r:id="rId3"/>
    <sheet name="Hoja de calculos prioridades" sheetId="35" state="hidden" r:id="rId4"/>
    <sheet name="RELACIONES" sheetId="39" state="hidden" r:id="rId5"/>
  </sheets>
  <definedNames>
    <definedName name="_xlnm._FilterDatabase" localSheetId="0" hidden="1">'(1) CARGA DE DATOS'!$D$2:$K$43</definedName>
    <definedName name="_xlnm._FilterDatabase" localSheetId="3" hidden="1">'Hoja de calculos prioridades'!$L$1:$S$61</definedName>
  </definedNames>
  <calcPr calcId="181029"/>
</workbook>
</file>

<file path=xl/calcChain.xml><?xml version="1.0" encoding="utf-8"?>
<calcChain xmlns="http://schemas.openxmlformats.org/spreadsheetml/2006/main">
  <c r="E34" i="16" l="1"/>
  <c r="F12" i="39" l="1"/>
  <c r="B22" i="39" l="1"/>
  <c r="A22" i="39"/>
  <c r="G4" i="37" l="1"/>
  <c r="D4" i="37" s="1"/>
  <c r="G5" i="37"/>
  <c r="D5" i="37" s="1"/>
  <c r="G6" i="37"/>
  <c r="D6" i="37" s="1"/>
  <c r="G7" i="37"/>
  <c r="D7" i="37" s="1"/>
  <c r="G8" i="37"/>
  <c r="D8" i="37" s="1"/>
  <c r="G9" i="37"/>
  <c r="D9" i="37" s="1"/>
  <c r="G10" i="37"/>
  <c r="D10" i="37" s="1"/>
  <c r="G11" i="37"/>
  <c r="D11" i="37" s="1"/>
  <c r="G12" i="37"/>
  <c r="D12" i="37" s="1"/>
  <c r="G13" i="37"/>
  <c r="D13" i="37" s="1"/>
  <c r="G14" i="37"/>
  <c r="D14" i="37" s="1"/>
  <c r="G15" i="37"/>
  <c r="D15" i="37" s="1"/>
  <c r="G16" i="37"/>
  <c r="D16" i="37" s="1"/>
  <c r="G17" i="37"/>
  <c r="D17" i="37" s="1"/>
  <c r="G18" i="37"/>
  <c r="D18" i="37" s="1"/>
  <c r="G19" i="37"/>
  <c r="D19" i="37" s="1"/>
  <c r="G20" i="37"/>
  <c r="D20" i="37" s="1"/>
  <c r="G21" i="37"/>
  <c r="D21" i="37" s="1"/>
  <c r="G22" i="37"/>
  <c r="D22" i="37" s="1"/>
  <c r="G23" i="37"/>
  <c r="D23" i="37" s="1"/>
  <c r="K16" i="16" l="1"/>
  <c r="E16" i="36" s="1"/>
  <c r="K15" i="16"/>
  <c r="E15" i="36" s="1"/>
  <c r="K14" i="16"/>
  <c r="E14" i="36" s="1"/>
  <c r="K7" i="16"/>
  <c r="E7" i="36" s="1"/>
  <c r="K6" i="16"/>
  <c r="E6" i="36" s="1"/>
  <c r="K5" i="16"/>
  <c r="E5" i="36" s="1"/>
  <c r="K4" i="16"/>
  <c r="E4" i="36" s="1"/>
  <c r="K3" i="16"/>
  <c r="E3" i="36" s="1"/>
  <c r="K13" i="16"/>
  <c r="E13" i="36" s="1"/>
  <c r="R57" i="35" l="1"/>
  <c r="R58" i="35"/>
  <c r="R59" i="35"/>
  <c r="R60" i="35"/>
  <c r="R61" i="35"/>
  <c r="F3" i="35"/>
  <c r="H5" i="37" s="1"/>
  <c r="E5" i="37" s="1"/>
  <c r="F4" i="35"/>
  <c r="H6" i="37" s="1"/>
  <c r="E6" i="37" s="1"/>
  <c r="F5" i="35"/>
  <c r="H7" i="37" s="1"/>
  <c r="E7" i="37" s="1"/>
  <c r="F6" i="35"/>
  <c r="H8" i="37" s="1"/>
  <c r="E8" i="37" s="1"/>
  <c r="F7" i="35"/>
  <c r="H9" i="37" s="1"/>
  <c r="E9" i="37" s="1"/>
  <c r="F8" i="35"/>
  <c r="H10" i="37" s="1"/>
  <c r="E10" i="37" s="1"/>
  <c r="F9" i="35"/>
  <c r="H11" i="37" s="1"/>
  <c r="E11" i="37" s="1"/>
  <c r="F10" i="35"/>
  <c r="H12" i="37" s="1"/>
  <c r="E12" i="37" s="1"/>
  <c r="F11" i="35"/>
  <c r="H13" i="37" s="1"/>
  <c r="E13" i="37" s="1"/>
  <c r="F12" i="35"/>
  <c r="H14" i="37" s="1"/>
  <c r="E14" i="37" s="1"/>
  <c r="F13" i="35"/>
  <c r="H15" i="37" s="1"/>
  <c r="E15" i="37" s="1"/>
  <c r="F14" i="35"/>
  <c r="H16" i="37" s="1"/>
  <c r="E16" i="37" s="1"/>
  <c r="F15" i="35"/>
  <c r="H17" i="37" s="1"/>
  <c r="E17" i="37" s="1"/>
  <c r="F16" i="35"/>
  <c r="H18" i="37" s="1"/>
  <c r="E18" i="37" s="1"/>
  <c r="F17" i="35"/>
  <c r="H19" i="37" s="1"/>
  <c r="E19" i="37" s="1"/>
  <c r="F18" i="35"/>
  <c r="H20" i="37" s="1"/>
  <c r="E20" i="37" s="1"/>
  <c r="F19" i="35"/>
  <c r="H21" i="37" s="1"/>
  <c r="E21" i="37" s="1"/>
  <c r="F20" i="35"/>
  <c r="H22" i="37" s="1"/>
  <c r="E22" i="37" s="1"/>
  <c r="F21" i="35"/>
  <c r="H23" i="37" s="1"/>
  <c r="E23" i="37" s="1"/>
  <c r="F2" i="35"/>
  <c r="H4" i="37" s="1"/>
  <c r="E4" i="37" s="1"/>
  <c r="C3" i="35"/>
  <c r="I5" i="37" s="1"/>
  <c r="F5" i="37" s="1"/>
  <c r="C4" i="35"/>
  <c r="I6" i="37" s="1"/>
  <c r="F6" i="37" s="1"/>
  <c r="C5" i="35"/>
  <c r="I7" i="37" s="1"/>
  <c r="F7" i="37" s="1"/>
  <c r="C6" i="35"/>
  <c r="I8" i="37" s="1"/>
  <c r="F8" i="37" s="1"/>
  <c r="C7" i="35"/>
  <c r="I9" i="37" s="1"/>
  <c r="F9" i="37" s="1"/>
  <c r="C8" i="35"/>
  <c r="I10" i="37" s="1"/>
  <c r="F10" i="37" s="1"/>
  <c r="C9" i="35"/>
  <c r="I11" i="37" s="1"/>
  <c r="F11" i="37" s="1"/>
  <c r="C10" i="35"/>
  <c r="I12" i="37" s="1"/>
  <c r="F12" i="37" s="1"/>
  <c r="C11" i="35"/>
  <c r="I13" i="37" s="1"/>
  <c r="F13" i="37" s="1"/>
  <c r="C12" i="35"/>
  <c r="I14" i="37" s="1"/>
  <c r="F14" i="37" s="1"/>
  <c r="C13" i="35"/>
  <c r="I15" i="37" s="1"/>
  <c r="F15" i="37" s="1"/>
  <c r="C14" i="35"/>
  <c r="I16" i="37" s="1"/>
  <c r="F16" i="37" s="1"/>
  <c r="C15" i="35"/>
  <c r="I17" i="37" s="1"/>
  <c r="F17" i="37" s="1"/>
  <c r="C16" i="35"/>
  <c r="I18" i="37" s="1"/>
  <c r="F18" i="37" s="1"/>
  <c r="C17" i="35"/>
  <c r="I19" i="37" s="1"/>
  <c r="F19" i="37" s="1"/>
  <c r="C18" i="35"/>
  <c r="I20" i="37" s="1"/>
  <c r="F20" i="37" s="1"/>
  <c r="C19" i="35"/>
  <c r="I21" i="37" s="1"/>
  <c r="F21" i="37" s="1"/>
  <c r="C20" i="35"/>
  <c r="I22" i="37" s="1"/>
  <c r="F22" i="37" s="1"/>
  <c r="C21" i="35"/>
  <c r="I23" i="37" s="1"/>
  <c r="F23" i="37" s="1"/>
  <c r="C2" i="35"/>
  <c r="I4" i="37" s="1"/>
  <c r="F4" i="37" s="1"/>
  <c r="I2" i="35" l="1"/>
  <c r="C4" i="37" s="1"/>
  <c r="I19" i="35"/>
  <c r="C21" i="37" s="1"/>
  <c r="B3" i="35"/>
  <c r="G3" i="35" s="1"/>
  <c r="B4" i="35"/>
  <c r="G4" i="35" s="1"/>
  <c r="B5" i="35"/>
  <c r="B6" i="35"/>
  <c r="B7" i="35"/>
  <c r="G7" i="35" s="1"/>
  <c r="B8" i="35"/>
  <c r="G8" i="35" s="1"/>
  <c r="B9" i="35"/>
  <c r="B10" i="35"/>
  <c r="B11" i="35"/>
  <c r="G11" i="35" s="1"/>
  <c r="B12" i="35"/>
  <c r="G12" i="35" s="1"/>
  <c r="B13" i="35"/>
  <c r="B14" i="35"/>
  <c r="G14" i="35" s="1"/>
  <c r="B15" i="35"/>
  <c r="G15" i="35" s="1"/>
  <c r="B16" i="35"/>
  <c r="G16" i="35" s="1"/>
  <c r="B17" i="35"/>
  <c r="B18" i="35"/>
  <c r="G18" i="35" s="1"/>
  <c r="B19" i="35"/>
  <c r="G19" i="35" s="1"/>
  <c r="B20" i="35"/>
  <c r="G20" i="35" s="1"/>
  <c r="B21" i="35"/>
  <c r="G21" i="35" s="1"/>
  <c r="B2" i="35"/>
  <c r="R56" i="35"/>
  <c r="R55" i="35"/>
  <c r="R54" i="35"/>
  <c r="R53" i="35"/>
  <c r="R52" i="35"/>
  <c r="R51" i="35"/>
  <c r="R50" i="35"/>
  <c r="R49" i="35"/>
  <c r="R48" i="35"/>
  <c r="R47" i="35"/>
  <c r="R46" i="35"/>
  <c r="R45" i="35"/>
  <c r="R44" i="35"/>
  <c r="R43" i="35"/>
  <c r="R42" i="35"/>
  <c r="R41" i="35"/>
  <c r="R40" i="35"/>
  <c r="R39" i="35"/>
  <c r="R38" i="35"/>
  <c r="R37" i="35"/>
  <c r="R36" i="35"/>
  <c r="R35" i="35"/>
  <c r="R34" i="35"/>
  <c r="R33" i="35"/>
  <c r="R32" i="35"/>
  <c r="R31" i="35"/>
  <c r="R30" i="35"/>
  <c r="R29" i="35"/>
  <c r="R28" i="35"/>
  <c r="R27" i="35"/>
  <c r="R26" i="35"/>
  <c r="R25" i="35"/>
  <c r="R24" i="35"/>
  <c r="R23" i="35"/>
  <c r="R22" i="35"/>
  <c r="R21" i="35"/>
  <c r="I21" i="35"/>
  <c r="C23" i="37" s="1"/>
  <c r="R20" i="35"/>
  <c r="I20" i="35"/>
  <c r="C22" i="37" s="1"/>
  <c r="R19" i="35"/>
  <c r="R18" i="35"/>
  <c r="I18" i="35"/>
  <c r="C20" i="37" s="1"/>
  <c r="R17" i="35"/>
  <c r="I17" i="35"/>
  <c r="C19" i="37" s="1"/>
  <c r="R16" i="35"/>
  <c r="I16" i="35"/>
  <c r="C18" i="37" s="1"/>
  <c r="R15" i="35"/>
  <c r="I15" i="35"/>
  <c r="C17" i="37" s="1"/>
  <c r="R14" i="35"/>
  <c r="I14" i="35"/>
  <c r="C16" i="37" s="1"/>
  <c r="R13" i="35"/>
  <c r="I13" i="35"/>
  <c r="C15" i="37" s="1"/>
  <c r="R12" i="35"/>
  <c r="I12" i="35"/>
  <c r="C14" i="37" s="1"/>
  <c r="R11" i="35"/>
  <c r="I11" i="35"/>
  <c r="C13" i="37" s="1"/>
  <c r="R10" i="35"/>
  <c r="I10" i="35"/>
  <c r="C12" i="37" s="1"/>
  <c r="G10" i="35"/>
  <c r="H10" i="35" s="1"/>
  <c r="R9" i="35"/>
  <c r="I9" i="35"/>
  <c r="C11" i="37" s="1"/>
  <c r="R8" i="35"/>
  <c r="I8" i="35"/>
  <c r="C10" i="37" s="1"/>
  <c r="R7" i="35"/>
  <c r="I7" i="35"/>
  <c r="C9" i="37" s="1"/>
  <c r="R6" i="35"/>
  <c r="I6" i="35"/>
  <c r="C8" i="37" s="1"/>
  <c r="G6" i="35"/>
  <c r="R5" i="35"/>
  <c r="I5" i="35"/>
  <c r="C7" i="37" s="1"/>
  <c r="R4" i="35"/>
  <c r="I4" i="35"/>
  <c r="C6" i="37" s="1"/>
  <c r="R3" i="35"/>
  <c r="I3" i="35"/>
  <c r="C5" i="37" s="1"/>
  <c r="R2" i="35"/>
  <c r="H8" i="35" l="1"/>
  <c r="B10" i="37" s="1"/>
  <c r="H4" i="35"/>
  <c r="B6" i="37" s="1"/>
  <c r="H19" i="35"/>
  <c r="B21" i="37" s="1"/>
  <c r="H15" i="35"/>
  <c r="B17" i="37" s="1"/>
  <c r="H11" i="35"/>
  <c r="B13" i="37" s="1"/>
  <c r="H7" i="35"/>
  <c r="B9" i="37" s="1"/>
  <c r="H3" i="35"/>
  <c r="B5" i="37" s="1"/>
  <c r="H16" i="35"/>
  <c r="B18" i="37" s="1"/>
  <c r="H18" i="35"/>
  <c r="B20" i="37" s="1"/>
  <c r="H14" i="35"/>
  <c r="B16" i="37" s="1"/>
  <c r="H20" i="35"/>
  <c r="B22" i="37" s="1"/>
  <c r="H12" i="35"/>
  <c r="B14" i="37" s="1"/>
  <c r="H6" i="35"/>
  <c r="B8" i="37" s="1"/>
  <c r="B12" i="37"/>
  <c r="H21" i="35"/>
  <c r="B23" i="37" s="1"/>
  <c r="G2" i="35"/>
  <c r="H2" i="35" s="1"/>
  <c r="B4" i="37" s="1"/>
  <c r="G17" i="35"/>
  <c r="H17" i="35" s="1"/>
  <c r="B19" i="37" s="1"/>
  <c r="G13" i="35"/>
  <c r="H13" i="35" s="1"/>
  <c r="B15" i="37" s="1"/>
  <c r="G9" i="35"/>
  <c r="H9" i="35" s="1"/>
  <c r="B11" i="37" s="1"/>
  <c r="G5" i="35"/>
  <c r="H5" i="35" s="1"/>
  <c r="B7" i="37" s="1"/>
  <c r="E4" i="16" l="1"/>
  <c r="E17" i="16"/>
  <c r="E18" i="16"/>
  <c r="E19" i="16"/>
  <c r="E20" i="16"/>
  <c r="E21" i="16"/>
  <c r="E22" i="16"/>
  <c r="E5" i="16"/>
  <c r="E6" i="16"/>
  <c r="E7" i="16"/>
  <c r="E8" i="16"/>
  <c r="E9" i="16"/>
  <c r="E10" i="16"/>
  <c r="E11" i="16"/>
  <c r="E12" i="16"/>
  <c r="E13" i="16"/>
  <c r="E14" i="16"/>
  <c r="E15" i="16"/>
  <c r="E16" i="16"/>
  <c r="E3" i="16"/>
  <c r="E25" i="16" l="1"/>
  <c r="K19" i="16" s="1"/>
  <c r="B47" i="16" s="1"/>
  <c r="E23" i="16"/>
  <c r="B45" i="16" s="1"/>
  <c r="E19" i="36" l="1"/>
  <c r="E24" i="16"/>
  <c r="H23" i="16"/>
  <c r="B37" i="16" s="1"/>
  <c r="D23" i="16"/>
  <c r="B40" i="16" l="1"/>
  <c r="B55" i="16"/>
  <c r="O27" i="16"/>
  <c r="M26" i="16"/>
  <c r="M25" i="16"/>
  <c r="M24" i="16"/>
  <c r="M23" i="16"/>
  <c r="N27" i="16"/>
  <c r="L26" i="16"/>
  <c r="L25" i="16"/>
  <c r="L24" i="16"/>
  <c r="L23" i="16"/>
  <c r="K23" i="16"/>
  <c r="K26" i="16"/>
  <c r="K25" i="16"/>
  <c r="K24" i="16"/>
  <c r="K17" i="16"/>
  <c r="E17" i="36" s="1"/>
  <c r="K9" i="16"/>
  <c r="E9" i="36" s="1"/>
  <c r="K8" i="16"/>
  <c r="E8" i="36" s="1"/>
  <c r="I6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5" i="16"/>
  <c r="I4" i="16"/>
  <c r="I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3" i="16"/>
  <c r="B56" i="16" l="1"/>
  <c r="B9" i="36"/>
  <c r="B10" i="36" s="1"/>
  <c r="B36" i="16"/>
  <c r="B39" i="16" s="1"/>
  <c r="B59" i="16" s="1"/>
  <c r="I23" i="16"/>
  <c r="B38" i="16" s="1"/>
  <c r="F23" i="16"/>
  <c r="B48" i="16" s="1"/>
  <c r="B60" i="16" l="1"/>
  <c r="B13" i="36"/>
  <c r="B14" i="36" s="1"/>
  <c r="B62" i="16"/>
  <c r="G23" i="16"/>
  <c r="B49" i="16" s="1"/>
  <c r="B23" i="16"/>
  <c r="E28" i="36" l="1"/>
  <c r="B34" i="16"/>
  <c r="B35" i="16"/>
  <c r="B63" i="16"/>
  <c r="B17" i="36"/>
  <c r="B18" i="36" s="1"/>
  <c r="E69" i="16"/>
  <c r="E63" i="16"/>
  <c r="B44" i="16" l="1"/>
  <c r="E60" i="16" s="1"/>
  <c r="B41" i="16"/>
  <c r="E54" i="16" s="1"/>
  <c r="B52" i="16"/>
  <c r="E64" i="16"/>
  <c r="B33" i="36"/>
  <c r="B34" i="36" s="1"/>
  <c r="E70" i="16"/>
  <c r="B41" i="36"/>
  <c r="B42" i="36" s="1"/>
  <c r="K18" i="16"/>
  <c r="B53" i="16" l="1"/>
  <c r="B5" i="36"/>
  <c r="B6" i="36" s="1"/>
  <c r="E55" i="16"/>
  <c r="B21" i="36"/>
  <c r="B22" i="36" s="1"/>
  <c r="B29" i="36"/>
  <c r="B30" i="36" s="1"/>
  <c r="E61" i="16"/>
  <c r="B46" i="16"/>
  <c r="E66" i="16" s="1"/>
  <c r="E18" i="36"/>
  <c r="B42" i="16"/>
  <c r="E57" i="16" s="1"/>
  <c r="M27" i="16"/>
  <c r="E30" i="36" l="1"/>
  <c r="E29" i="36"/>
  <c r="E27" i="36"/>
  <c r="E67" i="16"/>
  <c r="B37" i="36"/>
  <c r="B38" i="36" s="1"/>
  <c r="E58" i="16"/>
  <c r="B25" i="36"/>
  <c r="B26" i="36" s="1"/>
  <c r="E31" i="3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Carlos D'Angelo</author>
  </authors>
  <commentList>
    <comment ref="C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1= Import. Alta
0,75= Import. Media-Alta
0,5= Import. Media
0,25= Import. Media Baja
0,1= Baja</t>
        </r>
      </text>
    </comment>
    <comment ref="D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PERTINENTE= 1
NO PERTINENTE=0</t>
        </r>
      </text>
    </comment>
    <comment ref="E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Si el problema NO es pertinente queda EN BLANCO</t>
        </r>
      </text>
    </comment>
    <comment ref="F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NIVEL DE GESTION
(lo valoran los expertos)
ALTO= 3
MEDIO= 2
BAJO = 1
PERTINENTE NO SE GESTIONA = 0
NO PERTINENTE = en blanco</t>
        </r>
      </text>
    </comment>
    <comment ref="G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NO GESTIONADO PERTINENTE = 0
NO GESTIONADO NO PERTINENTE = blanco</t>
        </r>
      </text>
    </comment>
    <comment ref="H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EN EL CONTEXTO DE LA GESTION COMUNAL
(lo define la gestión)
PERTINENTES
    Ejecución Alta = 4
    Ejecución Media = 3
    Ejecución Baja = 2
    No se ejecuta previsto= 1
    No se ejecuta no previsto=0
NO PERTINENTES = en blanco
</t>
        </r>
      </text>
    </comment>
    <comment ref="B23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Problemas totales sin ponderar</t>
        </r>
      </text>
    </comment>
    <comment ref="C23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Problemas totales (20) ponderados por importancia.</t>
        </r>
      </text>
    </comment>
    <comment ref="D23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Problemas no pertinentes</t>
        </r>
      </text>
    </comment>
    <comment ref="E23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Problemas pertinentes al caso ponderados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Carlos D'Angelo</author>
  </authors>
  <commentList>
    <comment ref="A5" authorId="0" shapeId="0" xr:uid="{00000000-0006-0000-0100-000001000000}">
      <text>
        <r>
          <rPr>
            <sz val="9"/>
            <color indexed="81"/>
            <rFont val="Tahoma"/>
            <family val="2"/>
          </rPr>
          <t>Problemas ejecutados + previstos que se consideran en el caso en relación al máximo PERTINENTE de problemas.</t>
        </r>
      </text>
    </comment>
    <comment ref="A9" authorId="0" shapeId="0" xr:uid="{00000000-0006-0000-0100-000002000000}">
      <text>
        <r>
          <rPr>
            <sz val="9"/>
            <color indexed="81"/>
            <rFont val="Tahoma"/>
            <family val="2"/>
          </rPr>
          <t>Problemas PONDERADO que se consideran en el caso en relación al máximo PONDERADO posible.</t>
        </r>
      </text>
    </comment>
    <comment ref="A13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Consideran los problemas </t>
        </r>
        <r>
          <rPr>
            <b/>
            <sz val="9"/>
            <color indexed="81"/>
            <rFont val="Tahoma"/>
            <family val="2"/>
          </rPr>
          <t xml:space="preserve">ejecutados </t>
        </r>
        <r>
          <rPr>
            <sz val="9"/>
            <color indexed="81"/>
            <rFont val="Tahoma"/>
            <family val="2"/>
          </rPr>
          <t>en el SLG
(efectivamente ejecutados + previstos)</t>
        </r>
      </text>
    </comment>
    <comment ref="A17" authorId="0" shapeId="0" xr:uid="{00000000-0006-0000-0100-000004000000}">
      <text>
        <r>
          <rPr>
            <sz val="9"/>
            <color indexed="81"/>
            <rFont val="Tahoma"/>
            <family val="2"/>
          </rPr>
          <t xml:space="preserve">Ejecución de los problemas (ponderados) </t>
        </r>
        <r>
          <rPr>
            <b/>
            <sz val="9"/>
            <color indexed="81"/>
            <rFont val="Tahoma"/>
            <family val="2"/>
          </rPr>
          <t xml:space="preserve">efectivamente considerados </t>
        </r>
        <r>
          <rPr>
            <sz val="9"/>
            <color indexed="81"/>
            <rFont val="Tahoma"/>
            <family val="2"/>
          </rPr>
          <t>en el SLG</t>
        </r>
      </text>
    </comment>
    <comment ref="A22" authorId="0" shapeId="0" xr:uid="{00000000-0006-0000-0100-000005000000}">
      <text>
        <r>
          <rPr>
            <sz val="9"/>
            <color indexed="81"/>
            <rFont val="Tahoma"/>
            <family val="2"/>
          </rPr>
          <t>Nivel de ejecución del caso (efectivos+previstos) en relación al máximo posible considerando los problemas PERTINENTES (efectivo+previsto+no previsto)</t>
        </r>
      </text>
    </comment>
    <comment ref="A26" authorId="0" shapeId="0" xr:uid="{00000000-0006-0000-0100-000006000000}">
      <text>
        <r>
          <rPr>
            <sz val="9"/>
            <color indexed="81"/>
            <rFont val="Tahoma"/>
            <family val="2"/>
          </rPr>
          <t>Idem indicador (5) con problemas ponderados</t>
        </r>
      </text>
    </comment>
    <comment ref="A29" authorId="0" shapeId="0" xr:uid="{00000000-0006-0000-0100-000007000000}">
      <text>
        <r>
          <rPr>
            <sz val="9"/>
            <color indexed="81"/>
            <rFont val="Tahoma"/>
            <family val="2"/>
          </rPr>
          <t>Nivel de la gestión del caso relativa al máximo nivel de gestión para los problemas pertinentes</t>
        </r>
      </text>
    </comment>
    <comment ref="A30" authorId="0" shapeId="0" xr:uid="{00000000-0006-0000-0100-000008000000}">
      <text>
        <r>
          <rPr>
            <sz val="9"/>
            <color indexed="81"/>
            <rFont val="Tahoma"/>
            <family val="2"/>
          </rPr>
          <t>Considera el número de problemas efectivamente gestionados y la calidad de la gestión en relación al máximo posible (todos los problemas gestionados con nivel de gestión máximo).</t>
        </r>
      </text>
    </comment>
    <comment ref="A33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Escala 1 a 10</t>
        </r>
        <r>
          <rPr>
            <sz val="9"/>
            <color indexed="81"/>
            <rFont val="Tahoma"/>
            <family val="2"/>
          </rPr>
          <t xml:space="preserve">
Considera número de problemas gestionados y calidad de la gestión en relación al máximo pertinente (todos los problemas se gestionan con valor 3)</t>
        </r>
      </text>
    </comment>
    <comment ref="A34" authorId="0" shapeId="0" xr:uid="{00000000-0006-0000-0100-00000A000000}">
      <text>
        <r>
          <rPr>
            <sz val="9"/>
            <color indexed="81"/>
            <rFont val="Tahoma"/>
            <family val="2"/>
          </rPr>
          <t>Considera el número de problemas efectivamente gestionados y la calidad de la gestión en relación al máximo posible (todos los problemas gestionados con nivel de gestión máximo).</t>
        </r>
      </text>
    </comment>
    <comment ref="A37" authorId="0" shapeId="0" xr:uid="{00000000-0006-0000-0100-00000B000000}">
      <text>
        <r>
          <rPr>
            <sz val="9"/>
            <color indexed="81"/>
            <rFont val="Tahoma"/>
            <family val="2"/>
          </rPr>
          <t>Relaciona el valor de calidad de gestión obtenido en el caso en comparación con el máximo posible de acuerdo al número de problemas gestionados en el caso.</t>
        </r>
      </text>
    </comment>
    <comment ref="A38" authorId="0" shapeId="0" xr:uid="{00000000-0006-0000-0100-00000C000000}">
      <text>
        <r>
          <rPr>
            <sz val="9"/>
            <color indexed="81"/>
            <rFont val="Tahoma"/>
            <family val="2"/>
          </rPr>
          <t>Considera el nivel de gestión desarrollado en los problemas efectivamente gestionados en relación al máximo posible para ese número de problemas.</t>
        </r>
      </text>
    </comment>
    <comment ref="A41" authorId="0" shapeId="0" xr:uid="{00000000-0006-0000-0100-00000D000000}">
      <text>
        <r>
          <rPr>
            <sz val="9"/>
            <color indexed="81"/>
            <rFont val="Tahoma"/>
            <family val="2"/>
          </rPr>
          <t>Relaciona el valor de calidad de gestión obtenido en el caso en comparación con el máximo posible de acuerdo al número de problemas gestionados en el caso.</t>
        </r>
      </text>
    </comment>
    <comment ref="A42" authorId="0" shapeId="0" xr:uid="{00000000-0006-0000-0100-00000E000000}">
      <text>
        <r>
          <rPr>
            <sz val="9"/>
            <color indexed="81"/>
            <rFont val="Tahoma"/>
            <family val="2"/>
          </rPr>
          <t>Considera el nivel de gestión desarrollado en los problemas efectivamente gestionados en relación al máximo posible para ese número de problemas.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Carlos D'Angelo</author>
  </authors>
  <commentList>
    <comment ref="A1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NIVEL DE GESTION
(lo valoran los expertos)
ALTO= 3
MEDIO= 2
BAJO = 1
PERTINENTE NO SE GESTIONA = 0
NO PERTINENTE = en blanco</t>
        </r>
      </text>
    </comment>
    <comment ref="B1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 xml:space="preserve">EN EL CONTEXTO DE LA GESTION COMUNAL
(lo define la gestión)
PERTINENTES
Ejecución Alta = 4
Ejecución Media = 3
Ejecución Baja = 2
No se ejecuta previsto= 1
No se ejecuta no previsto=0
NO PERTINENTES = en blanco
</t>
        </r>
      </text>
    </comment>
    <comment ref="A14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Podría ser 2</t>
        </r>
      </text>
    </comment>
    <comment ref="A17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Podría ser 1</t>
        </r>
      </text>
    </comment>
    <comment ref="A18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Podría ser 2</t>
        </r>
      </text>
    </comment>
    <comment ref="A20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Valor pendiente: 3 no es</t>
        </r>
      </text>
    </comment>
  </commentList>
</comments>
</file>

<file path=xl/sharedStrings.xml><?xml version="1.0" encoding="utf-8"?>
<sst xmlns="http://schemas.openxmlformats.org/spreadsheetml/2006/main" count="401" uniqueCount="140">
  <si>
    <t>PROBLEMAS</t>
  </si>
  <si>
    <t>1.       Depósito de productos.</t>
  </si>
  <si>
    <t>2.       Equipos Tránsito.</t>
  </si>
  <si>
    <t>3.       Equipos Guarda.</t>
  </si>
  <si>
    <t>4.       Equipos Habilitación.</t>
  </si>
  <si>
    <t>5.       Equipos Estado de funcionamiento al momento de la aplicación.</t>
  </si>
  <si>
    <t>6.       Receta agronómica requerimientos legales (formal).</t>
  </si>
  <si>
    <t>7.       Receta agronómica autorización (visión técnica).</t>
  </si>
  <si>
    <t>8.       Receta agronómica comunicación al verificador y aplicador.</t>
  </si>
  <si>
    <t>9.       Aplicador inscripto ART.</t>
  </si>
  <si>
    <t>10.   Aplicador habilitado (cursos).</t>
  </si>
  <si>
    <t>11.   Aplicador indumentaria.</t>
  </si>
  <si>
    <t>12.   Condiciones meteorológicas.</t>
  </si>
  <si>
    <t>13.   Producto a usar a la aplicación (verificación cargado).</t>
  </si>
  <si>
    <t>14.   Manejo de envases in situ.</t>
  </si>
  <si>
    <t>15.   Depósito de envases usados (destino de envases).</t>
  </si>
  <si>
    <t>16.   La comunidad desconocimiento general.</t>
  </si>
  <si>
    <t>17.   La comunidad seguimiento de gestiones.</t>
  </si>
  <si>
    <t>18.   La comunidad participando de la gestión.</t>
  </si>
  <si>
    <t>19.   La comunidad. Intoxicaciones.</t>
  </si>
  <si>
    <t>RECUENTO DE NIVELES DE GESTIÓN</t>
  </si>
  <si>
    <t>Problemas GESTIONADOS=</t>
  </si>
  <si>
    <t>RECUENTO DE EJECUCIÓN</t>
  </si>
  <si>
    <t>Problemas EJECUTADOS=</t>
  </si>
  <si>
    <t>EJECUCIÓN DEL CASO PONDERADA</t>
  </si>
  <si>
    <t>Ponderación ALTA</t>
  </si>
  <si>
    <t>Ponderación MEDIA-ALTA</t>
  </si>
  <si>
    <t>Ponderación MEDIA</t>
  </si>
  <si>
    <t>Ponderación MEDIA-BAJA</t>
  </si>
  <si>
    <t>Ponderación BAJA</t>
  </si>
  <si>
    <t>GESTION DEL CASO PONDERADA</t>
  </si>
  <si>
    <t>Suma de problemas</t>
  </si>
  <si>
    <t>Ejecutados</t>
  </si>
  <si>
    <t>NIVEL DE PONDERACION</t>
  </si>
  <si>
    <t>PRIORIDAD</t>
  </si>
  <si>
    <t>ALTA</t>
  </si>
  <si>
    <t>MEDIA</t>
  </si>
  <si>
    <t>BAJA</t>
  </si>
  <si>
    <t>MEDIO</t>
  </si>
  <si>
    <t>BAJO</t>
  </si>
  <si>
    <t>ALTO</t>
  </si>
  <si>
    <t>IMPORTANCIA</t>
  </si>
  <si>
    <t>NIVEL DE GESTION</t>
  </si>
  <si>
    <t>MEDIA-ALTA</t>
  </si>
  <si>
    <t>MEDIA-BAJA</t>
  </si>
  <si>
    <t>EJECUCION</t>
  </si>
  <si>
    <t>No GESTIONADOS no pertinentes</t>
  </si>
  <si>
    <t>No GESTIONADOS pertinentes=</t>
  </si>
  <si>
    <t>No ejecutados pertinentes</t>
  </si>
  <si>
    <t>No ejecutados NO pertinentes</t>
  </si>
  <si>
    <t>20. Áreas a proteger. Vulnerabilidad diferencial</t>
  </si>
  <si>
    <t>PONDERACION del caso</t>
  </si>
  <si>
    <t>PONDERACION DE PROBLEMAS</t>
  </si>
  <si>
    <t>EJECUCION ALTA=</t>
  </si>
  <si>
    <t>EJECUCIÓN MEDIA=</t>
  </si>
  <si>
    <t>EJECUCION BAJA=</t>
  </si>
  <si>
    <t>NO pertinentes=</t>
  </si>
  <si>
    <t>No EJECUTADOS no previstos</t>
  </si>
  <si>
    <t>GESTION ALTA=</t>
  </si>
  <si>
    <t>GESTION MEDIA=</t>
  </si>
  <si>
    <t>GESTION BAJA=</t>
  </si>
  <si>
    <t>No EJECUTADOS previstos=</t>
  </si>
  <si>
    <t>Total máximo de problemas</t>
  </si>
  <si>
    <t>Máx. gest. Posible pond.</t>
  </si>
  <si>
    <t>Gestión efectiva</t>
  </si>
  <si>
    <t>Gestion efect. Ponderada</t>
  </si>
  <si>
    <t>(1) CONSIDERACIÓN DE PROBLEMAS EN EL SLG</t>
  </si>
  <si>
    <t>Problemas considerados en el SLG sobre el total PONDERADO de problemas</t>
  </si>
  <si>
    <t>EJECUCION de los problemas considerados en el SLG</t>
  </si>
  <si>
    <t>EJECUCION de los problemas PONDERADOS considerados en el SLG</t>
  </si>
  <si>
    <t>Total problemas pertinentes al caso</t>
  </si>
  <si>
    <t>Problemas ejecutados en el caso (ejecutados + previstos)</t>
  </si>
  <si>
    <t>Nivel de ejecución en el caso (ejecutados + previstos)</t>
  </si>
  <si>
    <t>Max. Nivel de ejec. Caso (ejecutados + previstos)</t>
  </si>
  <si>
    <t>Nivel de ejecución en el caso ponderada (ejecutados + previstos)</t>
  </si>
  <si>
    <t>Max. Nivel de ejec. Caso ponderada (ejecutados + previstos)</t>
  </si>
  <si>
    <t>Max Ejec. Total ponderada (total pertinente de casos)</t>
  </si>
  <si>
    <t>Máximo nivel de ejecución total (total de pertinentes al caso)</t>
  </si>
  <si>
    <t>DATOS TOTAL PROBLEMAS Y EJECUCION</t>
  </si>
  <si>
    <t>DATOS PARA VALORAR LA GESTION</t>
  </si>
  <si>
    <t>Máx. gest. Posible considerando TODOS los pertinentes</t>
  </si>
  <si>
    <t>Máx.gest.efectiva considera SOLO los gestionados</t>
  </si>
  <si>
    <t>Máx.gest.efect.ponderada considera SOLO los gestionados</t>
  </si>
  <si>
    <t>Problemas GESTIONADOS PONDERADOS=</t>
  </si>
  <si>
    <t>Solo los GESTIONADOS</t>
  </si>
  <si>
    <t>Problemas considerados en el SLG sobre el total de problemas PERTINENTES</t>
  </si>
  <si>
    <t>Gestionados + previstos ponderados</t>
  </si>
  <si>
    <t>Puntaje SLG sobre gestión óptima</t>
  </si>
  <si>
    <t>Puntaje SLG sobre lo efectivamente gestionado</t>
  </si>
  <si>
    <t>Puntaje para problemas EJECUTADOS</t>
  </si>
  <si>
    <t>Puntaje para problemas EJECUTADOS PONDERADOS</t>
  </si>
  <si>
    <t>(2) CONSIDERACIÓN DE PROBLEMAS PONDERADOS EN EL SLG</t>
  </si>
  <si>
    <t xml:space="preserve"> (3) EJECUCION DE LOS PROBLEMAS CONSIDERADOS</t>
  </si>
  <si>
    <t xml:space="preserve"> (4) EJECUCION DE LOS PROBLEMAS PONDERADOS CONSIDERADOS</t>
  </si>
  <si>
    <t>(5) ALCANCE DE LA GESTIÓN</t>
  </si>
  <si>
    <t>(6) ALCANCE DE LA GESTIÓN PONDERADO</t>
  </si>
  <si>
    <t>(7) CALIDAD DE LA GESTION COMPLETA</t>
  </si>
  <si>
    <t>(8) CALIDAD DE LA GESTION COMPLETA PONDERADA</t>
  </si>
  <si>
    <t>(9) CALIDAD DE LA GESTION  SOBRE GESTIONADO</t>
  </si>
  <si>
    <t>(10) CALIDAD DE LA GESTION  PONDERADA SOBRE GESTIONADO</t>
  </si>
  <si>
    <t>PREVISTO</t>
  </si>
  <si>
    <t>NO PREVISTO</t>
  </si>
  <si>
    <t>COMBINATORIA</t>
  </si>
  <si>
    <t>Adecuado</t>
  </si>
  <si>
    <t>Ponderac</t>
  </si>
  <si>
    <t>Ejecuc</t>
  </si>
  <si>
    <t>Gestión</t>
  </si>
  <si>
    <t>Combinatoria</t>
  </si>
  <si>
    <t>Prioridad</t>
  </si>
  <si>
    <t>Numérico</t>
  </si>
  <si>
    <t>No Pertinente</t>
  </si>
  <si>
    <t>No gestionados ¿Previsto?</t>
  </si>
  <si>
    <t>Prioridades del caso</t>
  </si>
  <si>
    <t>Indicadores del caso</t>
  </si>
  <si>
    <t>CARGAR 1 PERTINENCIA AL CASO (0 o 1)</t>
  </si>
  <si>
    <t>Carga de datos del caso</t>
  </si>
  <si>
    <t>INDICADOR 1</t>
  </si>
  <si>
    <t>INDICADOR 2</t>
  </si>
  <si>
    <t>INDICADOR 3</t>
  </si>
  <si>
    <t>INDICADOR 4</t>
  </si>
  <si>
    <t>INDICADOR 5</t>
  </si>
  <si>
    <t>INDICADOR 6</t>
  </si>
  <si>
    <t>INDICADOR 7</t>
  </si>
  <si>
    <t>INDICADOR 8</t>
  </si>
  <si>
    <t>INDICADOR 9</t>
  </si>
  <si>
    <t>INDICADOR 10</t>
  </si>
  <si>
    <t>Consideración de problemas</t>
  </si>
  <si>
    <t>Ejecución de problemas</t>
  </si>
  <si>
    <t>Alcance de la gestión</t>
  </si>
  <si>
    <t>Calidad de la gestión total</t>
  </si>
  <si>
    <t>Calidad de la gestión del caso</t>
  </si>
  <si>
    <t>Aspectos problemáticos</t>
  </si>
  <si>
    <t>Valor</t>
  </si>
  <si>
    <t>CARGA 2 NIVEL DE GESTION DEL CASO</t>
  </si>
  <si>
    <t>CARGA 3 EJECUCIÓN</t>
  </si>
  <si>
    <t>DATOS PARA INTERPRETAR LA PRIORIDAD ASIGNADA</t>
  </si>
  <si>
    <t>GESTIÓN</t>
  </si>
  <si>
    <t>GESTION</t>
  </si>
  <si>
    <t>FACT. EJECUCION</t>
  </si>
  <si>
    <t>TABLA PARA CORRELACIONES GESTION-EJECUCION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</si>
</sst>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9"/>
      <color indexed="81"/>
      <name val="Tahoma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indexed="81"/>
      <name val="Tahoma"/>
      <family val="2"/>
    </font>
    <font>
      <sz val="7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b/>
      <sz val="36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1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B05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Border="1"/>
    <xf numFmtId="0" fontId="5" fillId="0" borderId="2" xfId="0" applyFont="1" applyBorder="1"/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4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ill="1" applyBorder="1"/>
    <xf numFmtId="0" fontId="1" fillId="0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5" borderId="3" xfId="0" applyFont="1" applyFill="1" applyBorder="1" applyAlignment="1">
      <alignment horizontal="right"/>
    </xf>
    <xf numFmtId="0" fontId="0" fillId="5" borderId="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center"/>
    </xf>
    <xf numFmtId="0" fontId="1" fillId="2" borderId="8" xfId="0" applyFont="1" applyFill="1" applyBorder="1"/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7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0" xfId="0" applyFont="1" applyFill="1" applyBorder="1"/>
    <xf numFmtId="0" fontId="6" fillId="0" borderId="7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8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right"/>
    </xf>
    <xf numFmtId="0" fontId="1" fillId="9" borderId="1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1" fillId="0" borderId="0" xfId="0" applyFont="1"/>
    <xf numFmtId="0" fontId="0" fillId="10" borderId="1" xfId="0" applyFill="1" applyBorder="1"/>
    <xf numFmtId="0" fontId="0" fillId="10" borderId="7" xfId="0" applyFill="1" applyBorder="1"/>
    <xf numFmtId="0" fontId="1" fillId="11" borderId="11" xfId="0" applyFont="1" applyFill="1" applyBorder="1"/>
    <xf numFmtId="0" fontId="0" fillId="12" borderId="11" xfId="0" applyFont="1" applyFill="1" applyBorder="1" applyAlignment="1">
      <alignment horizontal="left"/>
    </xf>
    <xf numFmtId="0" fontId="3" fillId="13" borderId="11" xfId="0" applyFont="1" applyFill="1" applyBorder="1" applyAlignment="1">
      <alignment horizontal="right"/>
    </xf>
    <xf numFmtId="0" fontId="0" fillId="12" borderId="11" xfId="0" applyFill="1" applyBorder="1"/>
    <xf numFmtId="0" fontId="0" fillId="12" borderId="11" xfId="0" applyFont="1" applyFill="1" applyBorder="1" applyAlignment="1"/>
    <xf numFmtId="0" fontId="0" fillId="12" borderId="11" xfId="0" applyFill="1" applyBorder="1" applyAlignment="1">
      <alignment horizontal="left"/>
    </xf>
    <xf numFmtId="0" fontId="0" fillId="4" borderId="1" xfId="0" applyFill="1" applyBorder="1"/>
    <xf numFmtId="0" fontId="0" fillId="4" borderId="10" xfId="0" applyFill="1" applyBorder="1"/>
    <xf numFmtId="0" fontId="0" fillId="6" borderId="1" xfId="0" applyFill="1" applyBorder="1"/>
    <xf numFmtId="0" fontId="4" fillId="0" borderId="0" xfId="0" applyFont="1" applyFill="1" applyBorder="1" applyAlignment="1">
      <alignment horizontal="center"/>
    </xf>
    <xf numFmtId="0" fontId="0" fillId="6" borderId="7" xfId="0" applyFill="1" applyBorder="1"/>
    <xf numFmtId="0" fontId="7" fillId="4" borderId="0" xfId="0" applyFont="1" applyFill="1" applyAlignment="1">
      <alignment horizontal="center"/>
    </xf>
    <xf numFmtId="0" fontId="3" fillId="8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11" borderId="0" xfId="0" applyFont="1" applyFill="1" applyBorder="1"/>
    <xf numFmtId="2" fontId="1" fillId="14" borderId="0" xfId="0" applyNumberFormat="1" applyFont="1" applyFill="1" applyBorder="1" applyAlignment="1">
      <alignment horizontal="center"/>
    </xf>
    <xf numFmtId="0" fontId="3" fillId="13" borderId="0" xfId="0" applyFont="1" applyFill="1" applyBorder="1" applyAlignment="1">
      <alignment horizontal="right"/>
    </xf>
    <xf numFmtId="0" fontId="3" fillId="13" borderId="1" xfId="0" applyFont="1" applyFill="1" applyBorder="1" applyAlignment="1">
      <alignment horizontal="center"/>
    </xf>
    <xf numFmtId="0" fontId="0" fillId="15" borderId="0" xfId="0" applyFont="1" applyFill="1" applyBorder="1" applyAlignment="1">
      <alignment horizontal="left"/>
    </xf>
    <xf numFmtId="2" fontId="1" fillId="14" borderId="1" xfId="0" applyNumberFormat="1" applyFont="1" applyFill="1" applyBorder="1" applyAlignment="1">
      <alignment horizontal="center"/>
    </xf>
    <xf numFmtId="0" fontId="3" fillId="13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9" fillId="0" borderId="0" xfId="0" applyFont="1"/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2" fontId="4" fillId="1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0" fillId="16" borderId="0" xfId="0" applyFont="1" applyFill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0" fillId="16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0" fillId="0" borderId="1" xfId="0" applyBorder="1"/>
    <xf numFmtId="0" fontId="5" fillId="0" borderId="0" xfId="0" applyFont="1" applyFill="1" applyBorder="1"/>
    <xf numFmtId="0" fontId="7" fillId="0" borderId="1" xfId="0" applyFont="1" applyBorder="1" applyAlignment="1">
      <alignment horizontal="center"/>
    </xf>
    <xf numFmtId="0" fontId="14" fillId="0" borderId="0" xfId="0" applyFont="1"/>
    <xf numFmtId="0" fontId="14" fillId="0" borderId="0" xfId="0" applyFont="1" applyFill="1"/>
    <xf numFmtId="0" fontId="1" fillId="0" borderId="11" xfId="0" applyFont="1" applyFill="1" applyBorder="1"/>
    <xf numFmtId="0" fontId="1" fillId="2" borderId="12" xfId="0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13" borderId="0" xfId="0" applyFont="1" applyFill="1" applyBorder="1" applyAlignment="1">
      <alignment horizontal="center"/>
    </xf>
    <xf numFmtId="2" fontId="4" fillId="14" borderId="0" xfId="0" applyNumberFormat="1" applyFont="1" applyFill="1" applyBorder="1" applyAlignment="1">
      <alignment horizontal="center"/>
    </xf>
    <xf numFmtId="0" fontId="7" fillId="17" borderId="1" xfId="0" applyFont="1" applyFill="1" applyBorder="1" applyAlignment="1">
      <alignment horizontal="center"/>
    </xf>
    <xf numFmtId="0" fontId="7" fillId="18" borderId="1" xfId="0" applyFont="1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0" fillId="0" borderId="13" xfId="0" applyBorder="1"/>
    <xf numFmtId="0" fontId="7" fillId="0" borderId="8" xfId="0" applyFont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/>
    <xf numFmtId="0" fontId="12" fillId="20" borderId="1" xfId="0" applyFont="1" applyFill="1" applyBorder="1" applyAlignment="1">
      <alignment horizontal="center" vertical="center"/>
    </xf>
    <xf numFmtId="0" fontId="9" fillId="21" borderId="1" xfId="0" applyFont="1" applyFill="1" applyBorder="1" applyAlignment="1">
      <alignment horizontal="center"/>
    </xf>
    <xf numFmtId="0" fontId="9" fillId="22" borderId="1" xfId="0" applyFont="1" applyFill="1" applyBorder="1" applyAlignment="1">
      <alignment horizontal="center"/>
    </xf>
    <xf numFmtId="0" fontId="9" fillId="23" borderId="1" xfId="0" applyFont="1" applyFill="1" applyBorder="1" applyAlignment="1">
      <alignment horizontal="center"/>
    </xf>
    <xf numFmtId="0" fontId="4" fillId="23" borderId="1" xfId="0" applyFont="1" applyFill="1" applyBorder="1" applyAlignment="1">
      <alignment horizontal="center"/>
    </xf>
    <xf numFmtId="0" fontId="12" fillId="24" borderId="6" xfId="0" applyFont="1" applyFill="1" applyBorder="1" applyAlignment="1">
      <alignment horizontal="right"/>
    </xf>
    <xf numFmtId="0" fontId="12" fillId="24" borderId="10" xfId="0" applyFont="1" applyFill="1" applyBorder="1" applyAlignment="1">
      <alignment horizontal="center"/>
    </xf>
    <xf numFmtId="0" fontId="16" fillId="17" borderId="5" xfId="0" applyFont="1" applyFill="1" applyBorder="1" applyAlignment="1">
      <alignment horizontal="right"/>
    </xf>
    <xf numFmtId="0" fontId="16" fillId="17" borderId="1" xfId="0" applyFont="1" applyFill="1" applyBorder="1" applyAlignment="1">
      <alignment horizontal="center"/>
    </xf>
    <xf numFmtId="0" fontId="17" fillId="21" borderId="5" xfId="0" applyFont="1" applyFill="1" applyBorder="1" applyAlignment="1">
      <alignment horizontal="right"/>
    </xf>
    <xf numFmtId="0" fontId="17" fillId="21" borderId="1" xfId="0" applyFont="1" applyFill="1" applyBorder="1" applyAlignment="1">
      <alignment horizontal="center"/>
    </xf>
    <xf numFmtId="0" fontId="16" fillId="22" borderId="5" xfId="0" applyFont="1" applyFill="1" applyBorder="1" applyAlignment="1">
      <alignment horizontal="right"/>
    </xf>
    <xf numFmtId="0" fontId="16" fillId="22" borderId="1" xfId="0" applyFont="1" applyFill="1" applyBorder="1" applyAlignment="1">
      <alignment horizontal="center"/>
    </xf>
    <xf numFmtId="0" fontId="17" fillId="9" borderId="5" xfId="0" applyFont="1" applyFill="1" applyBorder="1" applyAlignment="1">
      <alignment horizontal="right"/>
    </xf>
    <xf numFmtId="0" fontId="17" fillId="9" borderId="1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right"/>
    </xf>
    <xf numFmtId="0" fontId="8" fillId="25" borderId="14" xfId="0" applyFont="1" applyFill="1" applyBorder="1" applyAlignment="1">
      <alignment horizontal="center"/>
    </xf>
    <xf numFmtId="0" fontId="8" fillId="25" borderId="21" xfId="0" applyFont="1" applyFill="1" applyBorder="1" applyAlignment="1">
      <alignment horizontal="center"/>
    </xf>
    <xf numFmtId="0" fontId="8" fillId="26" borderId="17" xfId="0" applyFont="1" applyFill="1" applyBorder="1" applyAlignment="1">
      <alignment horizontal="center"/>
    </xf>
    <xf numFmtId="0" fontId="8" fillId="26" borderId="15" xfId="0" applyFont="1" applyFill="1" applyBorder="1" applyAlignment="1">
      <alignment horizontal="center"/>
    </xf>
    <xf numFmtId="0" fontId="8" fillId="26" borderId="20" xfId="0" applyFont="1" applyFill="1" applyBorder="1" applyAlignment="1">
      <alignment horizontal="center"/>
    </xf>
    <xf numFmtId="0" fontId="8" fillId="26" borderId="14" xfId="0" applyFont="1" applyFill="1" applyBorder="1" applyAlignment="1">
      <alignment horizontal="center"/>
    </xf>
    <xf numFmtId="0" fontId="8" fillId="26" borderId="21" xfId="0" applyFont="1" applyFill="1" applyBorder="1" applyAlignment="1">
      <alignment horizontal="center"/>
    </xf>
    <xf numFmtId="0" fontId="8" fillId="25" borderId="18" xfId="0" applyFont="1" applyFill="1" applyBorder="1" applyAlignment="1">
      <alignment horizontal="center"/>
    </xf>
    <xf numFmtId="0" fontId="8" fillId="27" borderId="19" xfId="0" applyFont="1" applyFill="1" applyBorder="1" applyAlignment="1">
      <alignment horizontal="center"/>
    </xf>
    <xf numFmtId="0" fontId="8" fillId="27" borderId="16" xfId="0" applyFont="1" applyFill="1" applyBorder="1" applyAlignment="1">
      <alignment horizontal="center"/>
    </xf>
    <xf numFmtId="0" fontId="8" fillId="27" borderId="22" xfId="0" applyFont="1" applyFill="1" applyBorder="1" applyAlignment="1">
      <alignment horizontal="center"/>
    </xf>
    <xf numFmtId="0" fontId="15" fillId="26" borderId="20" xfId="0" applyFont="1" applyFill="1" applyBorder="1" applyAlignment="1">
      <alignment horizontal="center"/>
    </xf>
    <xf numFmtId="0" fontId="12" fillId="25" borderId="13" xfId="0" applyFont="1" applyFill="1" applyBorder="1" applyAlignment="1">
      <alignment horizontal="center" vertical="center"/>
    </xf>
    <xf numFmtId="0" fontId="12" fillId="27" borderId="22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right"/>
    </xf>
    <xf numFmtId="0" fontId="3" fillId="26" borderId="0" xfId="0" applyFont="1" applyFill="1" applyBorder="1" applyAlignment="1">
      <alignment horizontal="center"/>
    </xf>
    <xf numFmtId="0" fontId="12" fillId="24" borderId="6" xfId="0" applyFont="1" applyFill="1" applyBorder="1" applyAlignment="1">
      <alignment horizontal="left"/>
    </xf>
    <xf numFmtId="0" fontId="16" fillId="22" borderId="5" xfId="0" applyFont="1" applyFill="1" applyBorder="1" applyAlignment="1">
      <alignment horizontal="center"/>
    </xf>
    <xf numFmtId="0" fontId="1" fillId="23" borderId="1" xfId="0" applyFont="1" applyFill="1" applyBorder="1"/>
    <xf numFmtId="0" fontId="1" fillId="23" borderId="1" xfId="0" applyFont="1" applyFill="1" applyBorder="1" applyAlignment="1">
      <alignment horizontal="center"/>
    </xf>
    <xf numFmtId="0" fontId="7" fillId="0" borderId="1" xfId="0" applyFont="1" applyFill="1" applyBorder="1"/>
    <xf numFmtId="0" fontId="18" fillId="19" borderId="23" xfId="0" applyFont="1" applyFill="1" applyBorder="1" applyAlignment="1">
      <alignment horizontal="left" vertical="center"/>
    </xf>
    <xf numFmtId="0" fontId="19" fillId="19" borderId="0" xfId="0" applyFont="1" applyFill="1" applyBorder="1" applyAlignment="1">
      <alignment horizontal="left" vertical="center"/>
    </xf>
  </cellXfs>
  <cellStyles count="1">
    <cellStyle name="Normal" xfId="0" builtinId="0"/>
  </cellStyles>
  <dxfs count="21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b/>
        <i/>
      </font>
      <fill>
        <patternFill>
          <bgColor theme="4" tint="0.79998168889431442"/>
        </patternFill>
      </fill>
    </dxf>
    <dxf>
      <font>
        <b val="0"/>
        <i/>
      </font>
      <fill>
        <patternFill>
          <bgColor theme="0" tint="-4.9989318521683403E-2"/>
        </patternFill>
      </fill>
    </dxf>
    <dxf>
      <font>
        <b/>
        <i val="0"/>
        <color theme="5" tint="-0.499984740745262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/>
      <c:radarChart>
        <c:radarStyle val="filled"/>
        <c:varyColors val="0"/>
        <c:ser>
          <c:idx val="0"/>
          <c:order val="0"/>
          <c:cat>
            <c:strRef>
              <c:f>'(2) INDICADORES SLG'!$D$27:$D$31</c:f>
              <c:strCache>
                <c:ptCount val="5"/>
                <c:pt idx="0">
                  <c:v>Consideración de problemas</c:v>
                </c:pt>
                <c:pt idx="1">
                  <c:v>Ejecución de problemas</c:v>
                </c:pt>
                <c:pt idx="2">
                  <c:v>Alcance de la gestión</c:v>
                </c:pt>
                <c:pt idx="3">
                  <c:v>Calidad de la gestión total</c:v>
                </c:pt>
                <c:pt idx="4">
                  <c:v>Calidad de la gestión del caso</c:v>
                </c:pt>
              </c:strCache>
            </c:strRef>
          </c:cat>
          <c:val>
            <c:numRef>
              <c:f>'(2) INDICADORES SLG'!$E$27:$E$31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AE-447D-8931-B8AE6B700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465792"/>
        <c:axId val="112467328"/>
      </c:radarChart>
      <c:catAx>
        <c:axId val="11246579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12467328"/>
        <c:crosses val="autoZero"/>
        <c:auto val="1"/>
        <c:lblAlgn val="ctr"/>
        <c:lblOffset val="100"/>
        <c:noMultiLvlLbl val="0"/>
      </c:catAx>
      <c:valAx>
        <c:axId val="112467328"/>
        <c:scaling>
          <c:orientation val="minMax"/>
        </c:scaling>
        <c:delete val="0"/>
        <c:axPos val="l"/>
        <c:majorGridlines/>
        <c:numFmt formatCode="0.00" sourceLinked="1"/>
        <c:majorTickMark val="cross"/>
        <c:minorTickMark val="none"/>
        <c:tickLblPos val="nextTo"/>
        <c:crossAx val="112465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478631</xdr:colOff>
      <xdr:row>31</xdr:row>
      <xdr:rowOff>159544</xdr:rowOff>
    </xdr:from>
    <xdr:to>
      <xdr:col>4</xdr:col>
      <xdr:colOff>1916906</xdr:colOff>
      <xdr:row>46</xdr:row>
      <xdr:rowOff>45244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5"/>
  <sheetViews>
    <sheetView tabSelected="1" topLeftCell="E1" zoomScale="50" zoomScaleNormal="50" workbookViewId="0">
      <selection activeCell="F3" sqref="F3:F22"/>
    </sheetView>
  </sheetViews>
  <sheetFormatPr baseColWidth="10" defaultColWidth="0" defaultRowHeight="14.5" zeroHeight="1" x14ac:dyDescent="0.35"/>
  <cols>
    <col min="1" max="1" width="69.54296875" customWidth="1"/>
    <col min="2" max="2" width="13.1796875" customWidth="1"/>
    <col min="3" max="3" width="29.7265625" customWidth="1"/>
    <col min="4" max="4" width="38.1796875" customWidth="1"/>
    <col min="5" max="5" width="26.81640625" customWidth="1"/>
    <col min="6" max="6" width="35.81640625" customWidth="1"/>
    <col min="7" max="7" width="35" customWidth="1"/>
    <col min="8" max="8" width="26.26953125" style="74" customWidth="1"/>
    <col min="9" max="9" width="33.7265625" customWidth="1"/>
    <col min="10" max="10" width="41.54296875" customWidth="1"/>
    <col min="11" max="11" width="32.54296875" customWidth="1"/>
    <col min="12" max="12" width="39.1796875" customWidth="1"/>
    <col min="13" max="13" width="32.54296875" customWidth="1"/>
    <col min="14" max="14" width="48.81640625" hidden="1" customWidth="1"/>
    <col min="15" max="15" width="31.26953125" hidden="1" customWidth="1"/>
    <col min="16" max="16" width="24" hidden="1" customWidth="1"/>
    <col min="17" max="17" width="29" hidden="1" customWidth="1"/>
    <col min="18" max="20" width="0" hidden="1" customWidth="1"/>
    <col min="21" max="16384" width="11.453125" hidden="1"/>
  </cols>
  <sheetData>
    <row r="1" spans="1:20" s="90" customFormat="1" ht="48" customHeight="1" x14ac:dyDescent="2">
      <c r="A1" s="145" t="s">
        <v>115</v>
      </c>
      <c r="B1" s="145"/>
      <c r="C1" s="145"/>
      <c r="D1" s="145"/>
      <c r="E1" s="145"/>
      <c r="F1" s="145"/>
      <c r="G1" s="145"/>
      <c r="H1" s="145"/>
      <c r="I1" s="145"/>
      <c r="J1" s="91"/>
    </row>
    <row r="2" spans="1:20" x14ac:dyDescent="0.35">
      <c r="A2" s="108" t="s">
        <v>0</v>
      </c>
      <c r="B2" s="108"/>
      <c r="C2" s="108" t="s">
        <v>52</v>
      </c>
      <c r="D2" s="108" t="s">
        <v>114</v>
      </c>
      <c r="E2" s="108" t="s">
        <v>51</v>
      </c>
      <c r="F2" s="108" t="s">
        <v>133</v>
      </c>
      <c r="G2" s="108" t="s">
        <v>30</v>
      </c>
      <c r="H2" s="108" t="s">
        <v>134</v>
      </c>
      <c r="I2" s="108" t="s">
        <v>24</v>
      </c>
      <c r="J2" s="113" t="s">
        <v>22</v>
      </c>
      <c r="K2" s="114"/>
    </row>
    <row r="3" spans="1:20" x14ac:dyDescent="0.35">
      <c r="A3" s="5" t="s">
        <v>1</v>
      </c>
      <c r="B3" s="18"/>
      <c r="C3" s="109">
        <v>1</v>
      </c>
      <c r="D3" s="110"/>
      <c r="E3" s="111" t="str">
        <f>IF(D3=1,C3,"")</f>
        <v/>
      </c>
      <c r="F3" s="110"/>
      <c r="G3" s="112" t="str">
        <f t="shared" ref="G3:G22" si="0">IF(D3=1,F3*E3,"")</f>
        <v/>
      </c>
      <c r="H3" s="110"/>
      <c r="I3" s="112" t="str">
        <f t="shared" ref="I3:I22" si="1">IF(D3=1,H3*E3,"")</f>
        <v/>
      </c>
      <c r="J3" s="115" t="s">
        <v>53</v>
      </c>
      <c r="K3" s="116">
        <f>COUNTIF(H3:H22,"=4")</f>
        <v>0</v>
      </c>
      <c r="S3" s="1"/>
      <c r="T3" s="1"/>
    </row>
    <row r="4" spans="1:20" x14ac:dyDescent="0.35">
      <c r="A4" s="5" t="s">
        <v>2</v>
      </c>
      <c r="B4" s="18"/>
      <c r="C4" s="109">
        <v>0.75</v>
      </c>
      <c r="D4" s="110"/>
      <c r="E4" s="111" t="str">
        <f>IF(D4=1,C4,"")</f>
        <v/>
      </c>
      <c r="F4" s="110"/>
      <c r="G4" s="112" t="str">
        <f t="shared" si="0"/>
        <v/>
      </c>
      <c r="H4" s="110"/>
      <c r="I4" s="112" t="str">
        <f t="shared" si="1"/>
        <v/>
      </c>
      <c r="J4" s="115" t="s">
        <v>54</v>
      </c>
      <c r="K4" s="116">
        <f>COUNTIF(H3:H22,"=3")</f>
        <v>0</v>
      </c>
      <c r="S4" s="1"/>
      <c r="T4" s="1"/>
    </row>
    <row r="5" spans="1:20" x14ac:dyDescent="0.35">
      <c r="A5" s="5" t="s">
        <v>3</v>
      </c>
      <c r="B5" s="18"/>
      <c r="C5" s="109">
        <v>0.75</v>
      </c>
      <c r="D5" s="110"/>
      <c r="E5" s="111" t="str">
        <f t="shared" ref="E5:E16" si="2">IF(D5=1,C5,"")</f>
        <v/>
      </c>
      <c r="F5" s="110"/>
      <c r="G5" s="112" t="str">
        <f t="shared" si="0"/>
        <v/>
      </c>
      <c r="H5" s="110"/>
      <c r="I5" s="112" t="str">
        <f t="shared" si="1"/>
        <v/>
      </c>
      <c r="J5" s="115" t="s">
        <v>55</v>
      </c>
      <c r="K5" s="116">
        <f>COUNTIF(H3:H22,"=2")</f>
        <v>0</v>
      </c>
      <c r="S5" s="1"/>
      <c r="T5" s="1"/>
    </row>
    <row r="6" spans="1:20" x14ac:dyDescent="0.35">
      <c r="A6" s="5" t="s">
        <v>4</v>
      </c>
      <c r="B6" s="18"/>
      <c r="C6" s="109">
        <v>1</v>
      </c>
      <c r="D6" s="110"/>
      <c r="E6" s="111" t="str">
        <f t="shared" si="2"/>
        <v/>
      </c>
      <c r="F6" s="110"/>
      <c r="G6" s="112" t="str">
        <f t="shared" si="0"/>
        <v/>
      </c>
      <c r="H6" s="110"/>
      <c r="I6" s="112" t="str">
        <f t="shared" si="1"/>
        <v/>
      </c>
      <c r="J6" s="117" t="s">
        <v>61</v>
      </c>
      <c r="K6" s="118">
        <f>COUNTIF(H3:H22,"1")</f>
        <v>0</v>
      </c>
      <c r="S6" s="1"/>
      <c r="T6" s="1"/>
    </row>
    <row r="7" spans="1:20" x14ac:dyDescent="0.35">
      <c r="A7" s="5" t="s">
        <v>5</v>
      </c>
      <c r="B7" s="18"/>
      <c r="C7" s="109">
        <v>0.5</v>
      </c>
      <c r="D7" s="110"/>
      <c r="E7" s="111" t="str">
        <f t="shared" si="2"/>
        <v/>
      </c>
      <c r="F7" s="110"/>
      <c r="G7" s="112" t="str">
        <f t="shared" si="0"/>
        <v/>
      </c>
      <c r="H7" s="110"/>
      <c r="I7" s="112" t="str">
        <f t="shared" si="1"/>
        <v/>
      </c>
      <c r="J7" s="119" t="s">
        <v>57</v>
      </c>
      <c r="K7" s="120">
        <f>COUNTIF(H3:H22,"0")</f>
        <v>0</v>
      </c>
      <c r="S7" s="1"/>
      <c r="T7" s="1"/>
    </row>
    <row r="8" spans="1:20" x14ac:dyDescent="0.35">
      <c r="A8" s="5" t="s">
        <v>6</v>
      </c>
      <c r="B8" s="18"/>
      <c r="C8" s="109">
        <v>1</v>
      </c>
      <c r="D8" s="110"/>
      <c r="E8" s="111" t="str">
        <f t="shared" si="2"/>
        <v/>
      </c>
      <c r="F8" s="110"/>
      <c r="G8" s="112" t="str">
        <f t="shared" si="0"/>
        <v/>
      </c>
      <c r="H8" s="110"/>
      <c r="I8" s="112" t="str">
        <f t="shared" si="1"/>
        <v/>
      </c>
      <c r="J8" s="121" t="s">
        <v>56</v>
      </c>
      <c r="K8" s="122">
        <f>COUNTIF(H3:H22,"")</f>
        <v>20</v>
      </c>
      <c r="S8" s="1"/>
      <c r="T8" s="1"/>
    </row>
    <row r="9" spans="1:20" x14ac:dyDescent="0.35">
      <c r="A9" s="5" t="s">
        <v>7</v>
      </c>
      <c r="B9" s="18"/>
      <c r="C9" s="109">
        <v>1</v>
      </c>
      <c r="D9" s="110"/>
      <c r="E9" s="111" t="str">
        <f t="shared" si="2"/>
        <v/>
      </c>
      <c r="F9" s="110"/>
      <c r="G9" s="112" t="str">
        <f t="shared" si="0"/>
        <v/>
      </c>
      <c r="H9" s="110"/>
      <c r="I9" s="112" t="str">
        <f t="shared" si="1"/>
        <v/>
      </c>
      <c r="J9" s="113" t="s">
        <v>23</v>
      </c>
      <c r="K9" s="114">
        <f>COUNTIF(H3:H22,"&gt;1")</f>
        <v>0</v>
      </c>
      <c r="S9" s="1"/>
      <c r="T9" s="1"/>
    </row>
    <row r="10" spans="1:20" x14ac:dyDescent="0.35">
      <c r="A10" s="5" t="s">
        <v>8</v>
      </c>
      <c r="B10" s="18"/>
      <c r="C10" s="109">
        <v>1</v>
      </c>
      <c r="D10" s="110"/>
      <c r="E10" s="111" t="str">
        <f t="shared" si="2"/>
        <v/>
      </c>
      <c r="F10" s="110"/>
      <c r="G10" s="112" t="str">
        <f t="shared" si="0"/>
        <v/>
      </c>
      <c r="H10" s="110"/>
      <c r="I10" s="112" t="str">
        <f t="shared" si="1"/>
        <v/>
      </c>
      <c r="S10" s="1"/>
      <c r="T10" s="1"/>
    </row>
    <row r="11" spans="1:20" x14ac:dyDescent="0.35">
      <c r="A11" s="5" t="s">
        <v>9</v>
      </c>
      <c r="B11" s="18"/>
      <c r="C11" s="109">
        <v>0.25</v>
      </c>
      <c r="D11" s="110"/>
      <c r="E11" s="111" t="str">
        <f t="shared" si="2"/>
        <v/>
      </c>
      <c r="F11" s="110"/>
      <c r="G11" s="112" t="str">
        <f t="shared" si="0"/>
        <v/>
      </c>
      <c r="H11" s="110"/>
      <c r="I11" s="112" t="str">
        <f t="shared" si="1"/>
        <v/>
      </c>
      <c r="S11" s="1"/>
      <c r="T11" s="1"/>
    </row>
    <row r="12" spans="1:20" x14ac:dyDescent="0.35">
      <c r="A12" s="5" t="s">
        <v>10</v>
      </c>
      <c r="B12" s="18"/>
      <c r="C12" s="109">
        <v>1</v>
      </c>
      <c r="D12" s="110"/>
      <c r="E12" s="111" t="str">
        <f t="shared" si="2"/>
        <v/>
      </c>
      <c r="F12" s="110"/>
      <c r="G12" s="112" t="str">
        <f t="shared" si="0"/>
        <v/>
      </c>
      <c r="H12" s="110"/>
      <c r="I12" s="112" t="str">
        <f t="shared" si="1"/>
        <v/>
      </c>
      <c r="J12" s="113" t="s">
        <v>20</v>
      </c>
      <c r="K12" s="114"/>
      <c r="S12" s="1"/>
      <c r="T12" s="1"/>
    </row>
    <row r="13" spans="1:20" x14ac:dyDescent="0.35">
      <c r="A13" s="5" t="s">
        <v>11</v>
      </c>
      <c r="B13" s="18"/>
      <c r="C13" s="109">
        <v>0.25</v>
      </c>
      <c r="D13" s="110"/>
      <c r="E13" s="111" t="str">
        <f t="shared" si="2"/>
        <v/>
      </c>
      <c r="F13" s="110"/>
      <c r="G13" s="112" t="str">
        <f t="shared" si="0"/>
        <v/>
      </c>
      <c r="H13" s="110"/>
      <c r="I13" s="112" t="str">
        <f t="shared" si="1"/>
        <v/>
      </c>
      <c r="J13" s="115" t="s">
        <v>58</v>
      </c>
      <c r="K13" s="116">
        <f>COUNTIF(F3:F22,"=3")</f>
        <v>0</v>
      </c>
      <c r="S13" s="1"/>
      <c r="T13" s="1"/>
    </row>
    <row r="14" spans="1:20" x14ac:dyDescent="0.35">
      <c r="A14" s="5" t="s">
        <v>12</v>
      </c>
      <c r="B14" s="18"/>
      <c r="C14" s="109">
        <v>1</v>
      </c>
      <c r="D14" s="110"/>
      <c r="E14" s="111" t="str">
        <f t="shared" si="2"/>
        <v/>
      </c>
      <c r="F14" s="110"/>
      <c r="G14" s="112" t="str">
        <f t="shared" si="0"/>
        <v/>
      </c>
      <c r="H14" s="110"/>
      <c r="I14" s="112" t="str">
        <f t="shared" si="1"/>
        <v/>
      </c>
      <c r="J14" s="115" t="s">
        <v>59</v>
      </c>
      <c r="K14" s="116">
        <f>COUNTIF(F3:F22,"=2")</f>
        <v>0</v>
      </c>
      <c r="S14" s="1"/>
      <c r="T14" s="1"/>
    </row>
    <row r="15" spans="1:20" x14ac:dyDescent="0.35">
      <c r="A15" s="5" t="s">
        <v>13</v>
      </c>
      <c r="B15" s="18"/>
      <c r="C15" s="109">
        <v>1</v>
      </c>
      <c r="D15" s="110"/>
      <c r="E15" s="111" t="str">
        <f t="shared" si="2"/>
        <v/>
      </c>
      <c r="F15" s="110"/>
      <c r="G15" s="112" t="str">
        <f t="shared" si="0"/>
        <v/>
      </c>
      <c r="H15" s="110"/>
      <c r="I15" s="112" t="str">
        <f t="shared" si="1"/>
        <v/>
      </c>
      <c r="J15" s="115" t="s">
        <v>60</v>
      </c>
      <c r="K15" s="116">
        <f>COUNTIF(F3:F22,"=1")</f>
        <v>0</v>
      </c>
      <c r="S15" s="1"/>
      <c r="T15" s="1"/>
    </row>
    <row r="16" spans="1:20" x14ac:dyDescent="0.35">
      <c r="A16" s="5" t="s">
        <v>14</v>
      </c>
      <c r="B16" s="18"/>
      <c r="C16" s="109">
        <v>1</v>
      </c>
      <c r="D16" s="110"/>
      <c r="E16" s="111" t="str">
        <f t="shared" si="2"/>
        <v/>
      </c>
      <c r="F16" s="110"/>
      <c r="G16" s="112" t="str">
        <f t="shared" si="0"/>
        <v/>
      </c>
      <c r="H16" s="110"/>
      <c r="I16" s="112" t="str">
        <f t="shared" si="1"/>
        <v/>
      </c>
      <c r="J16" s="119" t="s">
        <v>47</v>
      </c>
      <c r="K16" s="120">
        <f>COUNTIF(F3:F22,"=0")</f>
        <v>0</v>
      </c>
      <c r="S16" s="1"/>
      <c r="T16" s="1"/>
    </row>
    <row r="17" spans="1:20" x14ac:dyDescent="0.35">
      <c r="A17" s="5" t="s">
        <v>15</v>
      </c>
      <c r="B17" s="18"/>
      <c r="C17" s="109">
        <v>0.5</v>
      </c>
      <c r="D17" s="110"/>
      <c r="E17" s="111" t="str">
        <f t="shared" ref="E17:E22" si="3">IF(D17=1,C17,"")</f>
        <v/>
      </c>
      <c r="F17" s="110"/>
      <c r="G17" s="112" t="str">
        <f t="shared" si="0"/>
        <v/>
      </c>
      <c r="H17" s="110"/>
      <c r="I17" s="112" t="str">
        <f t="shared" si="1"/>
        <v/>
      </c>
      <c r="J17" s="123" t="s">
        <v>46</v>
      </c>
      <c r="K17" s="43">
        <f>COUNTIF(F3:F22,"")</f>
        <v>20</v>
      </c>
      <c r="S17" s="1"/>
      <c r="T17" s="1"/>
    </row>
    <row r="18" spans="1:20" x14ac:dyDescent="0.35">
      <c r="A18" s="5" t="s">
        <v>16</v>
      </c>
      <c r="B18" s="18"/>
      <c r="C18" s="109">
        <v>0.5</v>
      </c>
      <c r="D18" s="110"/>
      <c r="E18" s="111" t="str">
        <f t="shared" si="3"/>
        <v/>
      </c>
      <c r="F18" s="110"/>
      <c r="G18" s="112" t="str">
        <f t="shared" si="0"/>
        <v/>
      </c>
      <c r="H18" s="110"/>
      <c r="I18" s="112" t="str">
        <f t="shared" si="1"/>
        <v/>
      </c>
      <c r="J18" s="113" t="s">
        <v>21</v>
      </c>
      <c r="K18" s="114">
        <f>K13+K14+K15</f>
        <v>0</v>
      </c>
      <c r="L18" s="3"/>
      <c r="S18" s="1"/>
      <c r="T18" s="1"/>
    </row>
    <row r="19" spans="1:20" x14ac:dyDescent="0.35">
      <c r="A19" s="6" t="s">
        <v>17</v>
      </c>
      <c r="B19" s="19"/>
      <c r="C19" s="109">
        <v>1</v>
      </c>
      <c r="D19" s="110"/>
      <c r="E19" s="111" t="str">
        <f t="shared" si="3"/>
        <v/>
      </c>
      <c r="F19" s="110"/>
      <c r="G19" s="112" t="str">
        <f t="shared" si="0"/>
        <v/>
      </c>
      <c r="H19" s="110"/>
      <c r="I19" s="112" t="str">
        <f t="shared" si="1"/>
        <v/>
      </c>
      <c r="J19" s="113" t="s">
        <v>83</v>
      </c>
      <c r="K19" s="114">
        <f>E25</f>
        <v>0</v>
      </c>
      <c r="L19" s="3"/>
      <c r="S19" s="1"/>
      <c r="T19" s="1"/>
    </row>
    <row r="20" spans="1:20" x14ac:dyDescent="0.35">
      <c r="A20" s="6" t="s">
        <v>18</v>
      </c>
      <c r="B20" s="19"/>
      <c r="C20" s="109">
        <v>0.75</v>
      </c>
      <c r="D20" s="110"/>
      <c r="E20" s="111" t="str">
        <f t="shared" si="3"/>
        <v/>
      </c>
      <c r="F20" s="110"/>
      <c r="G20" s="112" t="str">
        <f t="shared" si="0"/>
        <v/>
      </c>
      <c r="H20" s="110"/>
      <c r="I20" s="112" t="str">
        <f t="shared" si="1"/>
        <v/>
      </c>
      <c r="S20" s="1"/>
      <c r="T20" s="1"/>
    </row>
    <row r="21" spans="1:20" x14ac:dyDescent="0.35">
      <c r="A21" s="7" t="s">
        <v>19</v>
      </c>
      <c r="B21" s="20"/>
      <c r="C21" s="109">
        <v>1</v>
      </c>
      <c r="D21" s="110"/>
      <c r="E21" s="111" t="str">
        <f t="shared" si="3"/>
        <v/>
      </c>
      <c r="F21" s="110"/>
      <c r="G21" s="112" t="str">
        <f t="shared" si="0"/>
        <v/>
      </c>
      <c r="H21" s="110"/>
      <c r="I21" s="112" t="str">
        <f t="shared" si="1"/>
        <v/>
      </c>
      <c r="S21" s="1"/>
      <c r="T21" s="1"/>
    </row>
    <row r="22" spans="1:20" ht="15" thickBot="1" x14ac:dyDescent="0.4">
      <c r="A22" s="7" t="s">
        <v>50</v>
      </c>
      <c r="B22" s="39"/>
      <c r="C22" s="109">
        <v>1</v>
      </c>
      <c r="D22" s="110"/>
      <c r="E22" s="111" t="str">
        <f t="shared" si="3"/>
        <v/>
      </c>
      <c r="F22" s="110"/>
      <c r="G22" s="112" t="str">
        <f t="shared" si="0"/>
        <v/>
      </c>
      <c r="H22" s="110"/>
      <c r="I22" s="112" t="str">
        <f t="shared" si="1"/>
        <v/>
      </c>
      <c r="J22" s="30" t="s">
        <v>33</v>
      </c>
      <c r="K22" s="12" t="s">
        <v>32</v>
      </c>
      <c r="L22" s="12" t="s">
        <v>48</v>
      </c>
      <c r="M22" s="12" t="s">
        <v>49</v>
      </c>
      <c r="T22" s="1"/>
    </row>
    <row r="23" spans="1:20" x14ac:dyDescent="0.35">
      <c r="A23" s="26" t="s">
        <v>31</v>
      </c>
      <c r="B23" s="27">
        <f>SUM(B3:B22)</f>
        <v>0</v>
      </c>
      <c r="C23" s="14"/>
      <c r="D23" s="15">
        <f>COUNTIF(D3:D22,"=0")</f>
        <v>0</v>
      </c>
      <c r="E23" s="15">
        <f>SUM(E3:E22)</f>
        <v>0</v>
      </c>
      <c r="F23" s="25">
        <f>SUM(F3:F22)</f>
        <v>0</v>
      </c>
      <c r="G23" s="15">
        <f>SUM(G3:G22)</f>
        <v>0</v>
      </c>
      <c r="H23" s="9">
        <f>SUMIF(H3:H22,"&gt;0")</f>
        <v>0</v>
      </c>
      <c r="I23" s="11">
        <f>SUM(I3:I22)</f>
        <v>0</v>
      </c>
      <c r="J23" s="28" t="s">
        <v>25</v>
      </c>
      <c r="K23" s="29">
        <f>COUNTIFS(E3:E22,"=1",H3:H22,"&gt;1")</f>
        <v>0</v>
      </c>
      <c r="L23" s="29">
        <f>COUNTIFS(E3:E22,"=1",H3:H22,"=1")</f>
        <v>0</v>
      </c>
      <c r="M23" s="44">
        <f>COUNTIFS(E3:E22,"=1",H3:H22,"=0")</f>
        <v>0</v>
      </c>
    </row>
    <row r="24" spans="1:20" hidden="1" x14ac:dyDescent="0.35">
      <c r="A24" s="10"/>
      <c r="B24" s="10"/>
      <c r="C24" s="10"/>
      <c r="D24" s="10" t="s">
        <v>86</v>
      </c>
      <c r="E24" s="59">
        <f>SUMIF(H3:H22,"&gt;0",E3:E22)</f>
        <v>0</v>
      </c>
      <c r="F24" s="59"/>
      <c r="G24" s="59"/>
      <c r="H24" s="1"/>
      <c r="I24" s="1"/>
      <c r="J24" s="16" t="s">
        <v>26</v>
      </c>
      <c r="K24" s="29">
        <f>COUNTIFS(E3:E22,"=0,75",H3:H22,"&gt;1")</f>
        <v>0</v>
      </c>
      <c r="L24" s="29">
        <f>COUNTIFS(E3:E22,"=0,75",H3:H22,"=1")</f>
        <v>0</v>
      </c>
      <c r="M24" s="29">
        <f>COUNTIFS(E3:E22,"=0,75",H3:H22,"=0")</f>
        <v>0</v>
      </c>
    </row>
    <row r="25" spans="1:20" hidden="1" x14ac:dyDescent="0.35">
      <c r="A25" s="13"/>
      <c r="B25" s="33"/>
      <c r="C25" s="33"/>
      <c r="D25" s="33" t="s">
        <v>84</v>
      </c>
      <c r="E25" s="59">
        <f>SUMIF(H3:H22,"&gt;1",E3:E22)</f>
        <v>0</v>
      </c>
      <c r="F25" s="59"/>
      <c r="G25" s="59"/>
      <c r="H25"/>
      <c r="J25" s="16" t="s">
        <v>27</v>
      </c>
      <c r="K25" s="29">
        <f>COUNTIFS(E3:E22,"=0,5",H3:H22,"&gt;1")</f>
        <v>0</v>
      </c>
      <c r="L25" s="29">
        <f>COUNTIFS(E3:E22,"=0,5",H3:H22,"=1")</f>
        <v>0</v>
      </c>
      <c r="M25" s="29">
        <f>COUNTIFS(E3:E22,"=0,5",H3:H22,"=0")</f>
        <v>0</v>
      </c>
    </row>
    <row r="26" spans="1:20" x14ac:dyDescent="0.35">
      <c r="A26" s="13"/>
      <c r="B26" s="33"/>
      <c r="C26" s="33"/>
      <c r="D26" s="33"/>
      <c r="H26"/>
      <c r="J26" s="16" t="s">
        <v>28</v>
      </c>
      <c r="K26" s="29">
        <f>COUNTIFS(E3:E22,"=0,25",H3:H22,"&gt;1")</f>
        <v>0</v>
      </c>
      <c r="L26" s="29">
        <f>COUNTIFS(E3:E22,"=0,25",H3:H22,"=1")</f>
        <v>0</v>
      </c>
      <c r="M26" s="29">
        <f>COUNTIFS(E3:E22,"=0,25",H3:H22,"=0")</f>
        <v>0</v>
      </c>
    </row>
    <row r="27" spans="1:20" hidden="1" x14ac:dyDescent="0.35">
      <c r="J27" s="9"/>
      <c r="K27" s="9"/>
      <c r="L27" s="16" t="s">
        <v>29</v>
      </c>
      <c r="M27" s="29">
        <f>COUNTIFS(E7:E26,"=0,1",H7:H26,"&gt;1")</f>
        <v>0</v>
      </c>
      <c r="N27" s="93">
        <f>COUNTIFS(E3:E22,"=0,1",H3:H22,"=1")</f>
        <v>0</v>
      </c>
      <c r="O27" s="29">
        <f>COUNTIFS(E3:E22,"=0,1",H3:H22,"=0")</f>
        <v>0</v>
      </c>
    </row>
    <row r="28" spans="1:20" hidden="1" x14ac:dyDescent="0.35">
      <c r="J28" s="8"/>
      <c r="K28" s="8"/>
      <c r="L28" s="13"/>
      <c r="M28" s="13"/>
      <c r="N28" s="8"/>
    </row>
    <row r="29" spans="1:20" hidden="1" x14ac:dyDescent="0.35">
      <c r="L29" s="38"/>
      <c r="M29" s="21"/>
      <c r="N29" s="8"/>
    </row>
    <row r="30" spans="1:20" hidden="1" x14ac:dyDescent="0.35">
      <c r="L30" s="38"/>
      <c r="M30" s="21"/>
      <c r="N30" s="8"/>
    </row>
    <row r="31" spans="1:20" hidden="1" x14ac:dyDescent="0.35">
      <c r="L31" s="38"/>
      <c r="M31" s="21"/>
      <c r="N31" s="8"/>
    </row>
    <row r="32" spans="1:20" hidden="1" x14ac:dyDescent="0.35">
      <c r="K32" s="3"/>
      <c r="L32" s="24"/>
      <c r="M32" s="22"/>
      <c r="N32" s="8"/>
    </row>
    <row r="33" spans="1:14" hidden="1" x14ac:dyDescent="0.35">
      <c r="A33" s="45" t="s">
        <v>78</v>
      </c>
      <c r="B33" s="33"/>
      <c r="C33" s="33"/>
      <c r="D33" s="33"/>
      <c r="H33"/>
      <c r="K33" s="3"/>
      <c r="L33" s="13"/>
      <c r="M33" s="13"/>
      <c r="N33" s="8"/>
    </row>
    <row r="34" spans="1:14" hidden="1" x14ac:dyDescent="0.35">
      <c r="A34" s="54" t="s">
        <v>62</v>
      </c>
      <c r="B34" s="31">
        <f>B23</f>
        <v>0</v>
      </c>
      <c r="C34" s="33"/>
      <c r="D34" s="33"/>
      <c r="E34" t="str">
        <f>IF(AND(ISBLANK(D3)),"ERROR",IF(AND(D3&lt;=1,D3&gt;=0),D3,"ERROR"))</f>
        <v>ERROR</v>
      </c>
      <c r="H34"/>
      <c r="K34" s="3"/>
      <c r="L34" s="13"/>
      <c r="M34" s="13"/>
      <c r="N34" s="8"/>
    </row>
    <row r="35" spans="1:14" hidden="1" x14ac:dyDescent="0.35">
      <c r="A35" s="54" t="s">
        <v>70</v>
      </c>
      <c r="B35" s="31">
        <f>B23-D23</f>
        <v>0</v>
      </c>
      <c r="C35" s="33"/>
      <c r="D35" s="1"/>
      <c r="H35"/>
      <c r="K35" s="21"/>
      <c r="L35" s="10"/>
      <c r="M35" s="13"/>
      <c r="N35" s="8"/>
    </row>
    <row r="36" spans="1:14" hidden="1" x14ac:dyDescent="0.35">
      <c r="A36" s="56" t="s">
        <v>71</v>
      </c>
      <c r="B36" s="32">
        <f>K9+K6</f>
        <v>0</v>
      </c>
      <c r="C36" s="33"/>
      <c r="D36" t="s">
        <v>139</v>
      </c>
      <c r="H36"/>
      <c r="J36" s="8"/>
      <c r="K36" s="22"/>
      <c r="L36" s="38"/>
      <c r="M36" s="33"/>
      <c r="N36" s="8"/>
    </row>
    <row r="37" spans="1:14" hidden="1" x14ac:dyDescent="0.35">
      <c r="A37" s="55" t="s">
        <v>72</v>
      </c>
      <c r="B37" s="31">
        <f>H23</f>
        <v>0</v>
      </c>
      <c r="C37" s="33"/>
      <c r="D37" s="85" t="s">
        <v>137</v>
      </c>
      <c r="E37" s="106">
        <v>3</v>
      </c>
      <c r="F37" s="106">
        <v>2</v>
      </c>
      <c r="G37" s="106">
        <v>1</v>
      </c>
      <c r="H37" s="106">
        <v>0</v>
      </c>
      <c r="I37" s="107"/>
      <c r="J37" s="8"/>
      <c r="K37" s="13"/>
      <c r="L37" s="38"/>
      <c r="M37" s="33"/>
      <c r="N37" s="8"/>
    </row>
    <row r="38" spans="1:14" hidden="1" x14ac:dyDescent="0.35">
      <c r="A38" s="54" t="s">
        <v>74</v>
      </c>
      <c r="B38" s="31">
        <f>I23</f>
        <v>0</v>
      </c>
      <c r="C38" s="33"/>
      <c r="D38" s="106">
        <v>3</v>
      </c>
      <c r="E38" s="106">
        <v>4</v>
      </c>
      <c r="F38" s="106">
        <v>4</v>
      </c>
      <c r="G38" s="106">
        <v>4</v>
      </c>
      <c r="H38" s="106">
        <v>1</v>
      </c>
      <c r="I38" s="107"/>
      <c r="K38" s="21"/>
      <c r="L38" s="38"/>
      <c r="M38" s="33"/>
    </row>
    <row r="39" spans="1:14" hidden="1" x14ac:dyDescent="0.35">
      <c r="A39" s="58" t="s">
        <v>73</v>
      </c>
      <c r="B39" s="32">
        <f>B36*4</f>
        <v>0</v>
      </c>
      <c r="C39" s="33"/>
      <c r="D39" s="106">
        <v>2</v>
      </c>
      <c r="E39" s="106">
        <v>3</v>
      </c>
      <c r="F39" s="106">
        <v>3</v>
      </c>
      <c r="G39" s="106">
        <v>3</v>
      </c>
      <c r="H39" s="106">
        <v>0</v>
      </c>
      <c r="I39" s="107"/>
      <c r="K39" s="22"/>
      <c r="L39" s="10"/>
      <c r="M39" s="33"/>
    </row>
    <row r="40" spans="1:14" hidden="1" x14ac:dyDescent="0.35">
      <c r="A40" s="56" t="s">
        <v>75</v>
      </c>
      <c r="B40" s="32">
        <f>E24*4</f>
        <v>0</v>
      </c>
      <c r="C40" s="33"/>
      <c r="D40" s="106">
        <v>1</v>
      </c>
      <c r="E40" s="106">
        <v>2</v>
      </c>
      <c r="F40" s="106">
        <v>2</v>
      </c>
      <c r="G40" s="106">
        <v>2</v>
      </c>
      <c r="H40" s="106"/>
      <c r="I40" s="107"/>
      <c r="K40" s="13"/>
      <c r="L40" s="23"/>
      <c r="M40" s="21"/>
    </row>
    <row r="41" spans="1:14" hidden="1" x14ac:dyDescent="0.35">
      <c r="A41" s="54" t="s">
        <v>77</v>
      </c>
      <c r="B41" s="31">
        <f>B35*4</f>
        <v>0</v>
      </c>
      <c r="C41" s="33"/>
      <c r="D41" s="106">
        <v>0</v>
      </c>
      <c r="E41" s="106"/>
      <c r="F41" s="106"/>
      <c r="G41" s="106"/>
      <c r="H41" s="106"/>
      <c r="I41" s="107"/>
      <c r="K41" s="8"/>
      <c r="L41" s="24"/>
      <c r="M41" s="22"/>
    </row>
    <row r="42" spans="1:14" hidden="1" x14ac:dyDescent="0.35">
      <c r="A42" s="54" t="s">
        <v>76</v>
      </c>
      <c r="B42" s="31">
        <f>E23*4</f>
        <v>0</v>
      </c>
      <c r="C42" s="33"/>
      <c r="D42" s="107"/>
      <c r="E42" s="107"/>
      <c r="F42" s="107"/>
      <c r="G42" s="107"/>
      <c r="H42" s="107"/>
      <c r="I42" s="107"/>
      <c r="L42" s="13"/>
      <c r="M42" s="13"/>
    </row>
    <row r="43" spans="1:14" hidden="1" x14ac:dyDescent="0.35">
      <c r="A43" s="45" t="s">
        <v>79</v>
      </c>
      <c r="B43" s="33"/>
      <c r="C43" s="33"/>
      <c r="D43" s="1"/>
      <c r="H43"/>
      <c r="L43" s="23"/>
      <c r="M43" s="21"/>
    </row>
    <row r="44" spans="1:14" hidden="1" x14ac:dyDescent="0.35">
      <c r="A44" s="46" t="s">
        <v>80</v>
      </c>
      <c r="B44" s="34">
        <f>B35*3</f>
        <v>0</v>
      </c>
      <c r="C44" s="34"/>
      <c r="D44" s="10"/>
      <c r="E44" s="13"/>
      <c r="F44" s="13"/>
      <c r="G44" s="13"/>
      <c r="H44"/>
      <c r="L44" s="24"/>
      <c r="M44" s="22"/>
    </row>
    <row r="45" spans="1:14" hidden="1" x14ac:dyDescent="0.35">
      <c r="A45" s="46" t="s">
        <v>63</v>
      </c>
      <c r="B45" s="33">
        <f>E23*3</f>
        <v>0</v>
      </c>
      <c r="C45" s="33"/>
      <c r="D45" s="38"/>
      <c r="E45" s="9"/>
      <c r="F45" s="9"/>
      <c r="G45" s="9"/>
      <c r="H45"/>
      <c r="L45" s="13"/>
      <c r="M45" s="13"/>
    </row>
    <row r="46" spans="1:14" hidden="1" x14ac:dyDescent="0.35">
      <c r="A46" s="46" t="s">
        <v>81</v>
      </c>
      <c r="B46" s="33">
        <f>K18*3</f>
        <v>0</v>
      </c>
      <c r="C46" s="33"/>
      <c r="D46" s="38"/>
      <c r="E46" s="72"/>
      <c r="F46" s="72"/>
      <c r="G46" s="72"/>
      <c r="H46" s="3"/>
      <c r="I46" s="3"/>
      <c r="L46" s="23"/>
      <c r="M46" s="21"/>
    </row>
    <row r="47" spans="1:14" hidden="1" x14ac:dyDescent="0.35">
      <c r="A47" s="46" t="s">
        <v>82</v>
      </c>
      <c r="B47" s="33">
        <f>K19*3</f>
        <v>0</v>
      </c>
      <c r="C47" s="33"/>
      <c r="D47" s="38"/>
      <c r="E47" s="21"/>
      <c r="F47" s="21"/>
      <c r="G47" s="21"/>
      <c r="H47" s="3"/>
      <c r="I47" s="3"/>
      <c r="L47" s="24"/>
      <c r="M47" s="22"/>
    </row>
    <row r="48" spans="1:14" hidden="1" x14ac:dyDescent="0.35">
      <c r="A48" s="47" t="s">
        <v>64</v>
      </c>
      <c r="B48" s="9">
        <f>F23</f>
        <v>0</v>
      </c>
      <c r="C48" s="9"/>
      <c r="H48" s="10"/>
      <c r="I48" s="10"/>
      <c r="L48" s="13"/>
      <c r="M48" s="13"/>
    </row>
    <row r="49" spans="1:13" hidden="1" x14ac:dyDescent="0.35">
      <c r="A49" s="46" t="s">
        <v>65</v>
      </c>
      <c r="B49" s="21">
        <f>G23</f>
        <v>0</v>
      </c>
      <c r="C49" s="21"/>
      <c r="H49" s="73"/>
      <c r="I49" s="23"/>
      <c r="L49" s="23"/>
      <c r="M49" s="21"/>
    </row>
    <row r="50" spans="1:13" hidden="1" x14ac:dyDescent="0.35">
      <c r="B50" s="22"/>
      <c r="C50" s="57"/>
      <c r="H50" s="57"/>
      <c r="I50" s="24"/>
      <c r="L50" s="24"/>
      <c r="M50" s="22"/>
    </row>
    <row r="51" spans="1:13" hidden="1" x14ac:dyDescent="0.35">
      <c r="A51" s="48"/>
      <c r="B51" s="13"/>
      <c r="C51" s="33"/>
      <c r="H51" s="64"/>
      <c r="I51" s="13"/>
    </row>
    <row r="52" spans="1:13" hidden="1" x14ac:dyDescent="0.35">
      <c r="A52" s="49" t="s">
        <v>85</v>
      </c>
      <c r="B52" s="21" t="e">
        <f>(B36/B35)*10</f>
        <v>#DIV/0!</v>
      </c>
      <c r="C52" s="21"/>
      <c r="H52" s="76"/>
      <c r="I52" s="3"/>
    </row>
    <row r="53" spans="1:13" hidden="1" x14ac:dyDescent="0.35">
      <c r="A53" s="50" t="s">
        <v>66</v>
      </c>
      <c r="B53" s="60" t="e">
        <f>IF(AND(B52=10),"MUY ALTA",IF(AND(B52&lt;=9,B52&gt;=8),"ALTA",IF(AND(B52&lt;8,B52&gt;=6),"MEDIA",IF(AND(B52&lt;6,B52&gt;=4),"BAJA",IF(AND(B52&lt;4,B52&gt;0),"MUY BAJA","ERROR")))))</f>
        <v>#DIV/0!</v>
      </c>
      <c r="C53" s="57"/>
      <c r="H53" s="75"/>
      <c r="I53" s="3"/>
    </row>
    <row r="54" spans="1:13" hidden="1" x14ac:dyDescent="0.35">
      <c r="A54" s="51"/>
      <c r="B54" s="13"/>
      <c r="C54" s="35"/>
      <c r="D54" s="65" t="s">
        <v>89</v>
      </c>
      <c r="E54" s="66" t="e">
        <f>(B37/B41)*10</f>
        <v>#DIV/0!</v>
      </c>
      <c r="F54" s="66"/>
      <c r="G54" s="66"/>
      <c r="H54" s="76"/>
      <c r="I54" s="3"/>
    </row>
    <row r="55" spans="1:13" hidden="1" x14ac:dyDescent="0.35">
      <c r="A55" s="52" t="s">
        <v>67</v>
      </c>
      <c r="B55" s="61" t="e">
        <f>(E24/E23)*10</f>
        <v>#DIV/0!</v>
      </c>
      <c r="C55" s="35"/>
      <c r="D55" s="67" t="s">
        <v>94</v>
      </c>
      <c r="E55" s="71" t="e">
        <f>IF(AND(E54=10),"MUY ALTO",IF(AND(E54&lt;=9,E54&gt;=8),"ALTO",IF(AND(E54&lt;8,E54&gt;=6),"MEDIA",IF(AND(E54&lt;6,E54&gt;=4),"BAJO",IF(AND(E54&lt;4,E54&gt;0),"MUY BAJO","ERROR")))))</f>
        <v>#DIV/0!</v>
      </c>
      <c r="F55" s="95"/>
      <c r="G55" s="95"/>
      <c r="H55" s="76"/>
      <c r="I55" s="3"/>
    </row>
    <row r="56" spans="1:13" hidden="1" x14ac:dyDescent="0.35">
      <c r="A56" s="50" t="s">
        <v>91</v>
      </c>
      <c r="B56" s="60" t="e">
        <f>IF(AND(B55&lt;=10,B55&gt;9),"MUY ALTA",IF(AND(B55&lt;=9,B55&gt;=8),"ALTA",IF(AND(B55&lt;8,B55&gt;=6),"MEDIA",IF(AND(B55&lt;6,B55&gt;=4),"BAJA",IF(AND(B55&lt;4,B55&gt;0),"MUY BAJA","ERROR")))))</f>
        <v>#DIV/0!</v>
      </c>
      <c r="C56" s="62"/>
      <c r="D56" s="8"/>
      <c r="E56" s="8"/>
      <c r="F56" s="8"/>
      <c r="G56" s="8"/>
      <c r="H56" s="34"/>
      <c r="I56" s="23"/>
    </row>
    <row r="57" spans="1:13" hidden="1" x14ac:dyDescent="0.35">
      <c r="B57" s="22"/>
      <c r="C57" s="57"/>
      <c r="D57" s="65" t="s">
        <v>90</v>
      </c>
      <c r="E57" s="66" t="e">
        <f>(B38/B42)*10</f>
        <v>#DIV/0!</v>
      </c>
      <c r="F57" s="66"/>
      <c r="G57" s="66"/>
      <c r="H57" s="57"/>
      <c r="I57" s="24"/>
    </row>
    <row r="58" spans="1:13" hidden="1" x14ac:dyDescent="0.35">
      <c r="B58" s="13"/>
      <c r="C58" s="35"/>
      <c r="D58" s="67" t="s">
        <v>95</v>
      </c>
      <c r="E58" s="68" t="e">
        <f>IF(AND(E57=10),"MUY ALTO",IF(AND(E57&lt;=9,E57&gt;=8),"ALTO",IF(AND(E57&lt;8,E57&gt;=6),"MEDIA",IF(AND(E57&lt;6,E57&gt;=4),"BAJO",IF(AND(E57&lt;4,E57&gt;0),"MUY BAJO","ERROR")))))</f>
        <v>#DIV/0!</v>
      </c>
      <c r="F58" s="95"/>
      <c r="G58" s="95"/>
      <c r="H58" s="76"/>
      <c r="I58" s="3"/>
    </row>
    <row r="59" spans="1:13" hidden="1" x14ac:dyDescent="0.35">
      <c r="A59" s="53" t="s">
        <v>68</v>
      </c>
      <c r="B59" s="21" t="e">
        <f>(B37/B39)*10</f>
        <v>#DIV/0!</v>
      </c>
      <c r="C59" s="62"/>
      <c r="H59" s="34"/>
      <c r="I59" s="23"/>
    </row>
    <row r="60" spans="1:13" hidden="1" x14ac:dyDescent="0.35">
      <c r="A60" s="50" t="s">
        <v>92</v>
      </c>
      <c r="B60" s="60" t="e">
        <f>IF(AND(B59=10),"MUY ALTA",IF(AND(B59&lt;=9,B59&gt;=8),"ALTA",IF(AND(B59&lt;8,B59&gt;=6),"MEDIA",IF(AND(B59&lt;6,B59&gt;=4),"BAJA",IF(AND(B59&lt;4,B59&gt;0),"MUY BAJA","ERROR")))))</f>
        <v>#DIV/0!</v>
      </c>
      <c r="C60" s="57"/>
      <c r="D60" s="69" t="s">
        <v>87</v>
      </c>
      <c r="E60" s="78" t="e">
        <f>(B48/B44)*10</f>
        <v>#DIV/0!</v>
      </c>
      <c r="F60" s="96"/>
      <c r="G60" s="96"/>
      <c r="H60" s="57"/>
      <c r="I60" s="24"/>
    </row>
    <row r="61" spans="1:13" hidden="1" x14ac:dyDescent="0.35">
      <c r="B61" s="13"/>
      <c r="C61" s="35"/>
      <c r="D61" s="67" t="s">
        <v>96</v>
      </c>
      <c r="E61" s="68" t="e">
        <f>IF(AND(E60=10),"MUY ALTA",IF(AND(E60&lt;=9,E60&gt;=8),"ALTA",IF(AND(E60&lt;8,E60&gt;=6),"MEDIA",IF(AND(E60&lt;6,E60&gt;=4),"BAJA",IF(AND(E60&lt;4,E60&gt;0),"MUY BAJA","ERROR")))))</f>
        <v>#DIV/0!</v>
      </c>
      <c r="F61" s="95"/>
      <c r="G61" s="95"/>
      <c r="H61" s="76"/>
      <c r="I61" s="3"/>
    </row>
    <row r="62" spans="1:13" hidden="1" x14ac:dyDescent="0.35">
      <c r="A62" s="53" t="s">
        <v>69</v>
      </c>
      <c r="B62" s="63" t="e">
        <f>(B38/B40)*10</f>
        <v>#DIV/0!</v>
      </c>
      <c r="C62" s="35"/>
      <c r="H62" s="77"/>
    </row>
    <row r="63" spans="1:13" hidden="1" x14ac:dyDescent="0.35">
      <c r="A63" s="50" t="s">
        <v>93</v>
      </c>
      <c r="B63" s="60" t="e">
        <f>IF(AND(B62=10),"MUY ALTA",IF(AND(B62&lt;=9,B62&gt;=8),"ALTA",IF(AND(B62&lt;8,B62&gt;=6),"MEDIA",IF(AND(B62&lt;6,B62&gt;=4),"BAJA",IF(AND(B62&lt;4,B62&gt;0),"MUY BAJA","ERROR")))))</f>
        <v>#DIV/0!</v>
      </c>
      <c r="C63" s="64"/>
      <c r="D63" s="69" t="s">
        <v>87</v>
      </c>
      <c r="E63" s="70" t="e">
        <f>(B49/B45)*10</f>
        <v>#DIV/0!</v>
      </c>
      <c r="F63" s="66"/>
      <c r="G63" s="66"/>
      <c r="H63" s="77"/>
    </row>
    <row r="64" spans="1:13" hidden="1" x14ac:dyDescent="0.35">
      <c r="D64" s="67" t="s">
        <v>97</v>
      </c>
      <c r="E64" s="68" t="e">
        <f>IF(AND(E63=10),"MUY ALTA",IF(AND(E63&lt;=9,E63&gt;=8),"ALTA",IF(AND(E63&lt;8,E63&gt;=6),"MEDIA",IF(AND(E63&lt;6,E63&gt;=4),"BAJA",IF(AND(E63&lt;4,E63&gt;0),"MUY BAJA","ERROR")))))</f>
        <v>#DIV/0!</v>
      </c>
      <c r="F64" s="95"/>
      <c r="G64" s="95"/>
      <c r="H64" s="77"/>
    </row>
    <row r="65" spans="4:8" hidden="1" x14ac:dyDescent="0.35">
      <c r="H65" s="77"/>
    </row>
    <row r="66" spans="4:8" hidden="1" x14ac:dyDescent="0.35">
      <c r="D66" s="69" t="s">
        <v>88</v>
      </c>
      <c r="E66" s="70" t="e">
        <f>(B48/B46)*10</f>
        <v>#DIV/0!</v>
      </c>
      <c r="F66" s="66"/>
      <c r="G66" s="66"/>
      <c r="H66" s="77"/>
    </row>
    <row r="67" spans="4:8" hidden="1" x14ac:dyDescent="0.35">
      <c r="D67" s="67" t="s">
        <v>98</v>
      </c>
      <c r="E67" s="68" t="e">
        <f>IF(AND(E66=10),"MUY ALTA",IF(AND(E66&lt;=9,E66&gt;=8),"ALTA",IF(AND(E66&lt;8,E66&gt;=6),"MEDIA",IF(AND(E66&lt;6,E66&gt;=4),"BAJA",IF(AND(E66&lt;4,E66&gt;0),"MUY BAJA","ERROR")))))</f>
        <v>#DIV/0!</v>
      </c>
      <c r="F67" s="95"/>
      <c r="G67" s="95"/>
    </row>
    <row r="68" spans="4:8" hidden="1" x14ac:dyDescent="0.35"/>
    <row r="69" spans="4:8" hidden="1" x14ac:dyDescent="0.35">
      <c r="D69" s="69" t="s">
        <v>88</v>
      </c>
      <c r="E69" s="70" t="e">
        <f>(B49/B47)*10</f>
        <v>#DIV/0!</v>
      </c>
      <c r="F69" s="66"/>
      <c r="G69" s="66"/>
    </row>
    <row r="70" spans="4:8" hidden="1" x14ac:dyDescent="0.35">
      <c r="D70" s="67" t="s">
        <v>99</v>
      </c>
      <c r="E70" s="68" t="e">
        <f>IF(AND(E69=10),"MUY ALTA",IF(AND(E69&lt;=9,E69&gt;=8),"ALTA",IF(AND(E69&lt;8,E69&gt;=6),"MEDIA",IF(AND(E69&lt;6,E69&gt;=4),"BAJA",IF(AND(E69&lt;4,E69&gt;0),"MUY BAJA","ERROR")))))</f>
        <v>#DIV/0!</v>
      </c>
      <c r="F70" s="95"/>
      <c r="G70" s="95"/>
    </row>
    <row r="71" spans="4:8" hidden="1" x14ac:dyDescent="0.35"/>
    <row r="72" spans="4:8" hidden="1" x14ac:dyDescent="0.35"/>
    <row r="73" spans="4:8" hidden="1" x14ac:dyDescent="0.35"/>
    <row r="74" spans="4:8" hidden="1" x14ac:dyDescent="0.35"/>
    <row r="75" spans="4:8" hidden="1" x14ac:dyDescent="0.35"/>
    <row r="76" spans="4:8" hidden="1" x14ac:dyDescent="0.35"/>
    <row r="77" spans="4:8" hidden="1" x14ac:dyDescent="0.35"/>
    <row r="78" spans="4:8" hidden="1" x14ac:dyDescent="0.35"/>
    <row r="79" spans="4:8" hidden="1" x14ac:dyDescent="0.35"/>
    <row r="80" spans="4:8" hidden="1" x14ac:dyDescent="0.35"/>
    <row r="81" hidden="1" x14ac:dyDescent="0.35"/>
    <row r="82" hidden="1" x14ac:dyDescent="0.35"/>
    <row r="83" hidden="1" x14ac:dyDescent="0.35"/>
    <row r="84" hidden="1" x14ac:dyDescent="0.35"/>
    <row r="85" hidden="1" x14ac:dyDescent="0.35"/>
    <row r="86" hidden="1" x14ac:dyDescent="0.35"/>
    <row r="87" hidden="1" x14ac:dyDescent="0.35"/>
    <row r="88" hidden="1" x14ac:dyDescent="0.35"/>
    <row r="89" hidden="1" x14ac:dyDescent="0.35"/>
    <row r="90" hidden="1" x14ac:dyDescent="0.35"/>
    <row r="91" hidden="1" x14ac:dyDescent="0.35"/>
    <row r="92" hidden="1" x14ac:dyDescent="0.35"/>
    <row r="93" hidden="1" x14ac:dyDescent="0.35"/>
    <row r="94" hidden="1" x14ac:dyDescent="0.35"/>
    <row r="95" hidden="1" x14ac:dyDescent="0.35"/>
    <row r="96" hidden="1" x14ac:dyDescent="0.35"/>
    <row r="97" hidden="1" x14ac:dyDescent="0.35"/>
    <row r="98" hidden="1" x14ac:dyDescent="0.35"/>
    <row r="99" hidden="1" x14ac:dyDescent="0.35"/>
    <row r="100" hidden="1" x14ac:dyDescent="0.35"/>
    <row r="101" hidden="1" x14ac:dyDescent="0.35"/>
    <row r="102" hidden="1" x14ac:dyDescent="0.35"/>
    <row r="103" hidden="1" x14ac:dyDescent="0.35"/>
    <row r="104" hidden="1" x14ac:dyDescent="0.35"/>
    <row r="105" hidden="1" x14ac:dyDescent="0.35"/>
    <row r="106" hidden="1" x14ac:dyDescent="0.35"/>
    <row r="107" hidden="1" x14ac:dyDescent="0.35"/>
    <row r="108" hidden="1" x14ac:dyDescent="0.35"/>
    <row r="109" hidden="1" x14ac:dyDescent="0.35"/>
    <row r="110" hidden="1" x14ac:dyDescent="0.35"/>
    <row r="111" hidden="1" x14ac:dyDescent="0.35"/>
    <row r="112" hidden="1" x14ac:dyDescent="0.35"/>
    <row r="113" hidden="1" x14ac:dyDescent="0.35"/>
    <row r="114" hidden="1" x14ac:dyDescent="0.35"/>
    <row r="115" hidden="1" x14ac:dyDescent="0.35"/>
    <row r="116" hidden="1" x14ac:dyDescent="0.35"/>
    <row r="117" hidden="1" x14ac:dyDescent="0.35"/>
    <row r="118" hidden="1" x14ac:dyDescent="0.35"/>
    <row r="119" hidden="1" x14ac:dyDescent="0.35"/>
    <row r="120" hidden="1" x14ac:dyDescent="0.35"/>
    <row r="121" hidden="1" x14ac:dyDescent="0.35"/>
    <row r="122" hidden="1" x14ac:dyDescent="0.35"/>
    <row r="123" hidden="1" x14ac:dyDescent="0.35"/>
    <row r="124" hidden="1" x14ac:dyDescent="0.35"/>
    <row r="125" hidden="1" x14ac:dyDescent="0.35"/>
    <row r="126" hidden="1" x14ac:dyDescent="0.35"/>
    <row r="127" hidden="1" x14ac:dyDescent="0.35"/>
    <row r="128" hidden="1" x14ac:dyDescent="0.35"/>
    <row r="129" hidden="1" x14ac:dyDescent="0.35"/>
    <row r="130" hidden="1" x14ac:dyDescent="0.35"/>
    <row r="131" hidden="1" x14ac:dyDescent="0.35"/>
    <row r="132" hidden="1" x14ac:dyDescent="0.35"/>
    <row r="133" hidden="1" x14ac:dyDescent="0.35"/>
    <row r="134" hidden="1" x14ac:dyDescent="0.35"/>
    <row r="135" hidden="1" x14ac:dyDescent="0.35"/>
  </sheetData>
  <mergeCells count="1">
    <mergeCell ref="A1:I1"/>
  </mergeCells>
  <dataValidations count="4">
    <dataValidation type="list" showInputMessage="1" showErrorMessage="1" sqref="F48" xr:uid="{00000000-0002-0000-0000-000000000000}">
      <formula1>IF(AND(F3=""),F3,IF(AND(F3&lt;=3,F3&gt;=1),$E$38:$E$40,IF(AND(A2=0),$H$38:$H$39,"ERROR")))</formula1>
    </dataValidation>
    <dataValidation type="whole" showInputMessage="1" showErrorMessage="1" errorTitle="ERROR DE CARGA" error="NO DEJAR EN BLANCO_x000a_1= Problema pertinente_x000a_0= Problema no pertinente" promptTitle="PERTINENCIA del problema" prompt="1= Problema PERTINENTE_x000a_0= Problema NO PERTINENTE" sqref="D3:D22" xr:uid="{00000000-0002-0000-0000-000001000000}">
      <formula1>0</formula1>
      <formula2>1</formula2>
    </dataValidation>
    <dataValidation type="list" showInputMessage="1" showErrorMessage="1" promptTitle="NIVEL DE EJECUCION" prompt="4= Ejecución ALTA_x000a_3= Ejecución MEDIA_x000a_2= Ejecución BAJA_x000a_1= GESTION PREVISTA_x000a_0= GESTION NO PREVISTA_x000a_En blanco= NO PERTINENTE" sqref="H3:H22" xr:uid="{00000000-0002-0000-0000-000002000000}">
      <formula1>IF(AND(F3=""),F3,IF(AND(F3&lt;=3,F3&gt;=1),$E$38:$E$40,IF(AND(F3=0),$H$38:$H$39,"ERROR")))</formula1>
    </dataValidation>
    <dataValidation type="list" showInputMessage="1" showErrorMessage="1" promptTitle="NIVEL DE GESTION" prompt="3= Gestión ALTA_x000a_2= Gestión MEDIA_x000a_1= Gestión BAJA_x000a_0= PERTINENTE  no se gestiona_x000a_En blanco= NO PERTINENTE" sqref="F3:F22" xr:uid="{00000000-0002-0000-0000-000003000000}">
      <formula1>IF(AND(D3=1),$D$38:$D$41,IF(AND(D3=0),F3="","ERROR"))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8"/>
  <sheetViews>
    <sheetView zoomScale="80" zoomScaleNormal="80" workbookViewId="0">
      <selection activeCell="E17" sqref="E17"/>
    </sheetView>
  </sheetViews>
  <sheetFormatPr baseColWidth="10" defaultColWidth="0" defaultRowHeight="14.5" zeroHeight="1" x14ac:dyDescent="0.35"/>
  <cols>
    <col min="1" max="1" width="71.1796875" style="13" customWidth="1"/>
    <col min="2" max="2" width="34" style="13" customWidth="1"/>
    <col min="3" max="3" width="7.81640625" style="13" customWidth="1"/>
    <col min="4" max="4" width="39.1796875" style="13" customWidth="1"/>
    <col min="5" max="5" width="32.54296875" style="13" customWidth="1"/>
    <col min="6" max="16384" width="11.453125" style="13" hidden="1"/>
  </cols>
  <sheetData>
    <row r="1" spans="1:5" ht="61.5" x14ac:dyDescent="0.35">
      <c r="A1" s="146" t="s">
        <v>113</v>
      </c>
      <c r="B1" s="146"/>
      <c r="C1" s="146"/>
      <c r="D1" s="146"/>
      <c r="E1" s="146"/>
    </row>
    <row r="2" spans="1:5" x14ac:dyDescent="0.35">
      <c r="D2" s="113" t="s">
        <v>22</v>
      </c>
      <c r="E2" s="140"/>
    </row>
    <row r="3" spans="1:5" x14ac:dyDescent="0.35">
      <c r="C3" s="88"/>
      <c r="D3" s="115" t="s">
        <v>53</v>
      </c>
      <c r="E3" s="116">
        <f>'(1) CARGA DE DATOS'!K3</f>
        <v>0</v>
      </c>
    </row>
    <row r="4" spans="1:5" x14ac:dyDescent="0.35">
      <c r="A4" s="92" t="s">
        <v>116</v>
      </c>
      <c r="C4" s="33"/>
      <c r="D4" s="115" t="s">
        <v>54</v>
      </c>
      <c r="E4" s="116">
        <f>'(1) CARGA DE DATOS'!K4</f>
        <v>0</v>
      </c>
    </row>
    <row r="5" spans="1:5" x14ac:dyDescent="0.35">
      <c r="A5" s="49" t="s">
        <v>85</v>
      </c>
      <c r="B5" s="21" t="e">
        <f>'(1) CARGA DE DATOS'!B52</f>
        <v>#DIV/0!</v>
      </c>
      <c r="C5" s="21"/>
      <c r="D5" s="115" t="s">
        <v>55</v>
      </c>
      <c r="E5" s="116">
        <f>'(1) CARGA DE DATOS'!K5</f>
        <v>0</v>
      </c>
    </row>
    <row r="6" spans="1:5" x14ac:dyDescent="0.35">
      <c r="A6" s="138" t="s">
        <v>66</v>
      </c>
      <c r="B6" s="139" t="e">
        <f>IF(AND(B5&gt;9),"MUY ALTA",IF(AND(B5&lt;=9,B5&gt;=8),"ALTA",IF(AND(B5&lt;8,B5&gt;=6),"MEDIA",IF(AND(B5&lt;6,B5&gt;=4),"BAJA",IF(AND(B5&lt;4,B5&gt;0),"MUY BAJA","ERROR")))))</f>
        <v>#DIV/0!</v>
      </c>
      <c r="C6" s="57"/>
      <c r="D6" s="117" t="s">
        <v>61</v>
      </c>
      <c r="E6" s="118">
        <f>'(1) CARGA DE DATOS'!K6</f>
        <v>0</v>
      </c>
    </row>
    <row r="7" spans="1:5" x14ac:dyDescent="0.35">
      <c r="C7" s="57"/>
      <c r="D7" s="119" t="s">
        <v>57</v>
      </c>
      <c r="E7" s="141">
        <f>'(1) CARGA DE DATOS'!K7</f>
        <v>0</v>
      </c>
    </row>
    <row r="8" spans="1:5" x14ac:dyDescent="0.35">
      <c r="A8" s="92" t="s">
        <v>117</v>
      </c>
      <c r="C8" s="35"/>
      <c r="D8" s="42" t="s">
        <v>56</v>
      </c>
      <c r="E8" s="43">
        <f>'(1) CARGA DE DATOS'!K8</f>
        <v>20</v>
      </c>
    </row>
    <row r="9" spans="1:5" x14ac:dyDescent="0.35">
      <c r="A9" s="49" t="s">
        <v>67</v>
      </c>
      <c r="B9" s="21" t="e">
        <f>'(1) CARGA DE DATOS'!B55</f>
        <v>#DIV/0!</v>
      </c>
      <c r="C9" s="62"/>
      <c r="D9" s="113" t="s">
        <v>23</v>
      </c>
      <c r="E9" s="114">
        <f>'(1) CARGA DE DATOS'!K9</f>
        <v>0</v>
      </c>
    </row>
    <row r="10" spans="1:5" x14ac:dyDescent="0.35">
      <c r="A10" s="138" t="s">
        <v>91</v>
      </c>
      <c r="B10" s="139" t="e">
        <f>IF(AND(B9&lt;=10,B9&gt;9),"MUY ALTA",IF(AND(B9&lt;=9,B9&gt;=8),"ALTA",IF(AND(B9&lt;8,B9&gt;=6),"MEDIA",IF(AND(B9&lt;6,B9&gt;=4),"BAJA",IF(AND(B9&lt;4,B9&gt;0),"MUY BAJA","ERROR")))))</f>
        <v>#DIV/0!</v>
      </c>
      <c r="C10" s="57"/>
      <c r="D10"/>
      <c r="E10"/>
    </row>
    <row r="11" spans="1:5" x14ac:dyDescent="0.35">
      <c r="C11" s="57"/>
      <c r="D11"/>
      <c r="E11"/>
    </row>
    <row r="12" spans="1:5" x14ac:dyDescent="0.35">
      <c r="A12" s="92" t="s">
        <v>118</v>
      </c>
      <c r="C12" s="35"/>
      <c r="D12" s="113" t="s">
        <v>20</v>
      </c>
      <c r="E12" s="113"/>
    </row>
    <row r="13" spans="1:5" x14ac:dyDescent="0.35">
      <c r="A13" s="49" t="s">
        <v>68</v>
      </c>
      <c r="B13" s="21" t="e">
        <f>'(1) CARGA DE DATOS'!B59</f>
        <v>#DIV/0!</v>
      </c>
      <c r="C13" s="62"/>
      <c r="D13" s="115" t="s">
        <v>58</v>
      </c>
      <c r="E13" s="116">
        <f>'(1) CARGA DE DATOS'!K13</f>
        <v>0</v>
      </c>
    </row>
    <row r="14" spans="1:5" x14ac:dyDescent="0.35">
      <c r="A14" s="138" t="s">
        <v>92</v>
      </c>
      <c r="B14" s="139" t="e">
        <f>IF(AND(B13&gt;9),"MUY ALTA",IF(AND(B13&lt;=9,B13&gt;=8),"ALTA",IF(AND(B13&lt;8,B13&gt;=6),"MEDIA",IF(AND(B13&lt;6,B13&gt;=4),"BAJA",IF(AND(B13&lt;4,B13&gt;0),"MUY BAJA","ERROR")))))</f>
        <v>#DIV/0!</v>
      </c>
      <c r="C14" s="57"/>
      <c r="D14" s="115" t="s">
        <v>59</v>
      </c>
      <c r="E14" s="116">
        <f>'(1) CARGA DE DATOS'!K14</f>
        <v>0</v>
      </c>
    </row>
    <row r="15" spans="1:5" x14ac:dyDescent="0.35">
      <c r="C15" s="57"/>
      <c r="D15" s="115" t="s">
        <v>60</v>
      </c>
      <c r="E15" s="116">
        <f>'(1) CARGA DE DATOS'!K15</f>
        <v>0</v>
      </c>
    </row>
    <row r="16" spans="1:5" x14ac:dyDescent="0.35">
      <c r="A16" s="92" t="s">
        <v>119</v>
      </c>
      <c r="C16" s="57"/>
      <c r="D16" s="119" t="s">
        <v>47</v>
      </c>
      <c r="E16" s="141">
        <f>'(1) CARGA DE DATOS'!K16</f>
        <v>0</v>
      </c>
    </row>
    <row r="17" spans="1:5" x14ac:dyDescent="0.35">
      <c r="A17" s="49" t="s">
        <v>69</v>
      </c>
      <c r="B17" s="21" t="e">
        <f>'(1) CARGA DE DATOS'!B62</f>
        <v>#DIV/0!</v>
      </c>
      <c r="C17" s="35"/>
      <c r="D17" s="42" t="s">
        <v>46</v>
      </c>
      <c r="E17" s="43">
        <f>'(1) CARGA DE DATOS'!K17</f>
        <v>20</v>
      </c>
    </row>
    <row r="18" spans="1:5" x14ac:dyDescent="0.35">
      <c r="A18" s="138" t="s">
        <v>93</v>
      </c>
      <c r="B18" s="139" t="e">
        <f>IF(AND(B17&gt;9),"MUY ALTA",IF(AND(B17&lt;=9,B17&gt;=8),"ALTA",IF(AND(B17&lt;8,B17&gt;=6),"MEDIA",IF(AND(B17&lt;6,B17&gt;=4),"BAJA",IF(AND(B17&lt;4,B17&gt;0),"MUY BAJA","ERROR")))))</f>
        <v>#DIV/0!</v>
      </c>
      <c r="C18" s="35"/>
      <c r="D18" s="113" t="s">
        <v>21</v>
      </c>
      <c r="E18" s="114">
        <f>'(1) CARGA DE DATOS'!K18</f>
        <v>0</v>
      </c>
    </row>
    <row r="19" spans="1:5" x14ac:dyDescent="0.35">
      <c r="C19" s="88"/>
      <c r="D19" s="113" t="s">
        <v>83</v>
      </c>
      <c r="E19" s="114">
        <f>'(1) CARGA DE DATOS'!K19</f>
        <v>0</v>
      </c>
    </row>
    <row r="20" spans="1:5" x14ac:dyDescent="0.35">
      <c r="A20" s="92" t="s">
        <v>120</v>
      </c>
    </row>
    <row r="21" spans="1:5" x14ac:dyDescent="0.35">
      <c r="A21" s="49" t="s">
        <v>89</v>
      </c>
      <c r="B21" s="21" t="e">
        <f>'(1) CARGA DE DATOS'!E54</f>
        <v>#DIV/0!</v>
      </c>
    </row>
    <row r="22" spans="1:5" x14ac:dyDescent="0.35">
      <c r="A22" s="138" t="s">
        <v>94</v>
      </c>
      <c r="B22" s="139" t="e">
        <f>IF(AND(B21&gt;9),"MUY ALTO",IF(AND(B21&lt;=9,B21&gt;=8),"ALTO",IF(AND(B21&lt;8,B21&gt;=6),"MEDIA",IF(AND(B21&lt;6,B21&gt;=4),"BAJO",IF(AND(B21&lt;4,B21&gt;0),"MUY BAJO","ERROR")))))</f>
        <v>#DIV/0!</v>
      </c>
    </row>
    <row r="23" spans="1:5" x14ac:dyDescent="0.35"/>
    <row r="24" spans="1:5" x14ac:dyDescent="0.35">
      <c r="A24" s="92" t="s">
        <v>121</v>
      </c>
    </row>
    <row r="25" spans="1:5" x14ac:dyDescent="0.35">
      <c r="A25" s="49" t="s">
        <v>90</v>
      </c>
      <c r="B25" s="21" t="e">
        <f>'(1) CARGA DE DATOS'!E57</f>
        <v>#DIV/0!</v>
      </c>
    </row>
    <row r="26" spans="1:5" x14ac:dyDescent="0.35">
      <c r="A26" s="138" t="s">
        <v>95</v>
      </c>
      <c r="B26" s="139" t="e">
        <f>IF(AND(B25&gt;9),"MUY ALTO",IF(AND(B25&lt;=9,B25&gt;=8),"ALTO",IF(AND(B25&lt;8,B25&gt;=6),"MEDIA",IF(AND(B25&lt;6,B25&gt;=4),"BAJO",IF(AND(B25&lt;4,B25&gt;0),"MUY BAJO","ERROR")))))</f>
        <v>#DIV/0!</v>
      </c>
      <c r="D26" s="142" t="s">
        <v>131</v>
      </c>
      <c r="E26" s="143" t="s">
        <v>132</v>
      </c>
    </row>
    <row r="27" spans="1:5" x14ac:dyDescent="0.35">
      <c r="D27" s="144" t="s">
        <v>126</v>
      </c>
      <c r="E27" s="94" t="e">
        <f>B5</f>
        <v>#DIV/0!</v>
      </c>
    </row>
    <row r="28" spans="1:5" x14ac:dyDescent="0.35">
      <c r="A28" s="92" t="s">
        <v>122</v>
      </c>
      <c r="D28" s="144" t="s">
        <v>127</v>
      </c>
      <c r="E28" s="94" t="e">
        <f>B13</f>
        <v>#DIV/0!</v>
      </c>
    </row>
    <row r="29" spans="1:5" x14ac:dyDescent="0.35">
      <c r="A29" s="49" t="s">
        <v>87</v>
      </c>
      <c r="B29" s="21" t="e">
        <f>'(1) CARGA DE DATOS'!E60</f>
        <v>#DIV/0!</v>
      </c>
      <c r="D29" s="144" t="s">
        <v>128</v>
      </c>
      <c r="E29" s="94" t="e">
        <f>B21</f>
        <v>#DIV/0!</v>
      </c>
    </row>
    <row r="30" spans="1:5" x14ac:dyDescent="0.35">
      <c r="A30" s="138" t="s">
        <v>96</v>
      </c>
      <c r="B30" s="139" t="e">
        <f>IF(AND(B29&gt;9),"MUY ALTA",IF(AND(B29&lt;=9,B29&gt;=8),"ALTA",IF(AND(B29&lt;8,B29&gt;=6),"MEDIA",IF(AND(B29&lt;6,B29&gt;=4),"BAJA",IF(AND(B29&lt;4,B29&gt;0),"MUY BAJA","ERROR")))))</f>
        <v>#DIV/0!</v>
      </c>
      <c r="D30" s="144" t="s">
        <v>129</v>
      </c>
      <c r="E30" s="94" t="e">
        <f>B29</f>
        <v>#DIV/0!</v>
      </c>
    </row>
    <row r="31" spans="1:5" x14ac:dyDescent="0.35">
      <c r="D31" s="144" t="s">
        <v>130</v>
      </c>
      <c r="E31" s="94" t="e">
        <f>B37</f>
        <v>#DIV/0!</v>
      </c>
    </row>
    <row r="32" spans="1:5" x14ac:dyDescent="0.35">
      <c r="A32" s="92" t="s">
        <v>123</v>
      </c>
    </row>
    <row r="33" spans="1:2" x14ac:dyDescent="0.35">
      <c r="A33" s="49" t="s">
        <v>87</v>
      </c>
      <c r="B33" s="21" t="e">
        <f>'(1) CARGA DE DATOS'!E63</f>
        <v>#DIV/0!</v>
      </c>
    </row>
    <row r="34" spans="1:2" x14ac:dyDescent="0.35">
      <c r="A34" s="138" t="s">
        <v>97</v>
      </c>
      <c r="B34" s="139" t="e">
        <f>IF(AND(B33&gt;9),"MUY ALTA",IF(AND(B33&lt;=9,B33&gt;=8),"ALTA",IF(AND(B33&lt;8,B33&gt;=6),"MEDIA",IF(AND(B33&lt;6,B33&gt;=4),"BAJA",IF(AND(B33&lt;4,B33&gt;0),"MUY BAJA","ERROR")))))</f>
        <v>#DIV/0!</v>
      </c>
    </row>
    <row r="35" spans="1:2" x14ac:dyDescent="0.35"/>
    <row r="36" spans="1:2" x14ac:dyDescent="0.35">
      <c r="A36" s="92" t="s">
        <v>124</v>
      </c>
    </row>
    <row r="37" spans="1:2" x14ac:dyDescent="0.35">
      <c r="A37" s="49" t="s">
        <v>88</v>
      </c>
      <c r="B37" s="21" t="e">
        <f>'(1) CARGA DE DATOS'!E66</f>
        <v>#DIV/0!</v>
      </c>
    </row>
    <row r="38" spans="1:2" x14ac:dyDescent="0.35">
      <c r="A38" s="138" t="s">
        <v>98</v>
      </c>
      <c r="B38" s="139" t="e">
        <f>IF(AND(B37&gt;9),"MUY ALTA",IF(AND(B37&lt;=9,B37&gt;=8),"ALTA",IF(AND(B37&lt;8,B37&gt;=6),"MEDIA",IF(AND(B37&lt;6,B37&gt;=4),"BAJA",IF(AND(B37&lt;4,B37&gt;0),"MUY BAJA","ERROR")))))</f>
        <v>#DIV/0!</v>
      </c>
    </row>
    <row r="39" spans="1:2" x14ac:dyDescent="0.35"/>
    <row r="40" spans="1:2" x14ac:dyDescent="0.35">
      <c r="A40" s="92" t="s">
        <v>125</v>
      </c>
    </row>
    <row r="41" spans="1:2" x14ac:dyDescent="0.35">
      <c r="A41" s="49" t="s">
        <v>88</v>
      </c>
      <c r="B41" s="21" t="e">
        <f>'(1) CARGA DE DATOS'!E69</f>
        <v>#DIV/0!</v>
      </c>
    </row>
    <row r="42" spans="1:2" x14ac:dyDescent="0.35">
      <c r="A42" s="138" t="s">
        <v>99</v>
      </c>
      <c r="B42" s="139" t="e">
        <f>IF(AND(B41&gt;9),"MUY ALTA",IF(AND(B41&lt;=9,B41&gt;=8),"ALTA",IF(AND(B41&lt;8,B41&gt;=6),"MEDIA",IF(AND(B41&lt;6,B41&gt;=4),"BAJA",IF(AND(B41&lt;4,B41&gt;0),"MUY BAJA","ERROR")))))</f>
        <v>#DIV/0!</v>
      </c>
    </row>
    <row r="43" spans="1:2" x14ac:dyDescent="0.35"/>
    <row r="44" spans="1:2" x14ac:dyDescent="0.35"/>
    <row r="45" spans="1:2" x14ac:dyDescent="0.35"/>
    <row r="46" spans="1:2" x14ac:dyDescent="0.35"/>
    <row r="47" spans="1:2" x14ac:dyDescent="0.35"/>
    <row r="48" spans="1:2" x14ac:dyDescent="0.35"/>
  </sheetData>
  <mergeCells count="1">
    <mergeCell ref="A1:E1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3"/>
  <sheetViews>
    <sheetView topLeftCell="A2" zoomScale="80" zoomScaleNormal="80" workbookViewId="0">
      <selection sqref="A1:I1"/>
    </sheetView>
  </sheetViews>
  <sheetFormatPr baseColWidth="10" defaultColWidth="0" defaultRowHeight="14.5" zeroHeight="1" x14ac:dyDescent="0.35"/>
  <cols>
    <col min="1" max="1" width="61.453125" customWidth="1"/>
    <col min="2" max="2" width="15.81640625" customWidth="1"/>
    <col min="3" max="3" width="25" customWidth="1"/>
    <col min="4" max="4" width="14.7265625" customWidth="1"/>
    <col min="5" max="5" width="25.54296875" customWidth="1"/>
    <col min="6" max="6" width="23.7265625" customWidth="1"/>
    <col min="7" max="7" width="25.1796875" hidden="1" customWidth="1"/>
    <col min="8" max="8" width="13.26953125" hidden="1" customWidth="1"/>
    <col min="9" max="9" width="11.453125" hidden="1" customWidth="1"/>
    <col min="10" max="11" width="0" hidden="1" customWidth="1"/>
    <col min="12" max="16384" width="11.453125" hidden="1"/>
  </cols>
  <sheetData>
    <row r="1" spans="1:9" s="90" customFormat="1" ht="92" x14ac:dyDescent="2">
      <c r="A1" s="146" t="s">
        <v>112</v>
      </c>
      <c r="B1" s="146"/>
      <c r="C1" s="146"/>
      <c r="D1" s="146"/>
      <c r="E1" s="146"/>
      <c r="F1" s="146"/>
      <c r="G1" s="146"/>
      <c r="H1" s="146"/>
      <c r="I1" s="146"/>
    </row>
    <row r="2" spans="1:9" x14ac:dyDescent="0.35">
      <c r="D2" s="108"/>
      <c r="E2" s="108" t="s">
        <v>135</v>
      </c>
      <c r="F2" s="108"/>
    </row>
    <row r="3" spans="1:9" x14ac:dyDescent="0.35">
      <c r="A3" s="108" t="s">
        <v>0</v>
      </c>
      <c r="B3" s="108" t="s">
        <v>108</v>
      </c>
      <c r="C3" s="108" t="s">
        <v>111</v>
      </c>
      <c r="D3" s="135" t="s">
        <v>41</v>
      </c>
      <c r="E3" s="136" t="s">
        <v>136</v>
      </c>
      <c r="F3" s="137" t="s">
        <v>138</v>
      </c>
      <c r="G3" s="102" t="s">
        <v>41</v>
      </c>
      <c r="H3" s="98" t="s">
        <v>137</v>
      </c>
      <c r="I3" s="97" t="s">
        <v>45</v>
      </c>
    </row>
    <row r="4" spans="1:9" x14ac:dyDescent="0.35">
      <c r="A4" s="5" t="s">
        <v>1</v>
      </c>
      <c r="B4" s="89" t="str">
        <f>'Hoja de calculos prioridades'!H2</f>
        <v>No Pertinente</v>
      </c>
      <c r="C4" s="101" t="str">
        <f>'Hoja de calculos prioridades'!I2</f>
        <v/>
      </c>
      <c r="D4" s="126" t="str">
        <f t="shared" ref="D4:D23" si="0">IF(AND(G4=1),"Alta",IF(AND(G4=0.75),"Media-Alta",IF(AND(G4=0.5),"Media",IF(AND(G4=0.25),"Media-Baja",IF(AND(G4=0.1),"Baja","Error")))))</f>
        <v>Alta</v>
      </c>
      <c r="E4" s="131" t="str">
        <f>IF(AND(H4=3),"Alta",IF(AND(H4=2),"Media",IF(AND(H4=1),"Baja",IF(AND(H4=0),"Pertinente NO se gestiona","No Pertinente"))))</f>
        <v>No Pertinente</v>
      </c>
      <c r="F4" s="132" t="str">
        <f t="shared" ref="F4:F23" si="1">IF(AND(I4=4),"Alta",IF(AND(I4=3),"Media",IF(AND(I4=2),"Baja",IF(AND(I4=1),"Previsto",IF(AND(I4=0),"No Previsto","No Pertinente")))))</f>
        <v>No Pertinente</v>
      </c>
      <c r="G4" s="103">
        <f>'(1) CARGA DE DATOS'!C3</f>
        <v>1</v>
      </c>
      <c r="H4" s="85" t="str">
        <f>'Hoja de calculos prioridades'!F2</f>
        <v/>
      </c>
      <c r="I4" s="99" t="str">
        <f>'Hoja de calculos prioridades'!C2</f>
        <v/>
      </c>
    </row>
    <row r="5" spans="1:9" x14ac:dyDescent="0.35">
      <c r="A5" s="5" t="s">
        <v>2</v>
      </c>
      <c r="B5" s="89" t="str">
        <f>'Hoja de calculos prioridades'!H3</f>
        <v>No Pertinente</v>
      </c>
      <c r="C5" s="101" t="str">
        <f>'Hoja de calculos prioridades'!I3</f>
        <v/>
      </c>
      <c r="D5" s="127" t="str">
        <f t="shared" si="0"/>
        <v>Media-Alta</v>
      </c>
      <c r="E5" s="124" t="str">
        <f t="shared" ref="E5:E23" si="2">IF(AND(H5=3),"Alta",IF(AND(H5=2),"Media",IF(AND(H5=1),"Baja",IF(AND(H5=0),"Pertinente NO se gestiona","No Pertinente"))))</f>
        <v>No Pertinente</v>
      </c>
      <c r="F5" s="133" t="str">
        <f t="shared" si="1"/>
        <v>No Pertinente</v>
      </c>
      <c r="G5" s="103">
        <f>'(1) CARGA DE DATOS'!C4</f>
        <v>0.75</v>
      </c>
      <c r="H5" s="85" t="str">
        <f>'Hoja de calculos prioridades'!F3</f>
        <v/>
      </c>
      <c r="I5" s="99" t="str">
        <f>'Hoja de calculos prioridades'!C3</f>
        <v/>
      </c>
    </row>
    <row r="6" spans="1:9" x14ac:dyDescent="0.35">
      <c r="A6" s="5" t="s">
        <v>3</v>
      </c>
      <c r="B6" s="89" t="str">
        <f>'Hoja de calculos prioridades'!H4</f>
        <v>No Pertinente</v>
      </c>
      <c r="C6" s="101" t="str">
        <f>'Hoja de calculos prioridades'!I4</f>
        <v/>
      </c>
      <c r="D6" s="127" t="str">
        <f t="shared" si="0"/>
        <v>Media-Alta</v>
      </c>
      <c r="E6" s="124" t="str">
        <f t="shared" si="2"/>
        <v>No Pertinente</v>
      </c>
      <c r="F6" s="133" t="str">
        <f t="shared" si="1"/>
        <v>No Pertinente</v>
      </c>
      <c r="G6" s="103">
        <f>'(1) CARGA DE DATOS'!C5</f>
        <v>0.75</v>
      </c>
      <c r="H6" s="85" t="str">
        <f>'Hoja de calculos prioridades'!F4</f>
        <v/>
      </c>
      <c r="I6" s="99" t="str">
        <f>'Hoja de calculos prioridades'!C4</f>
        <v/>
      </c>
    </row>
    <row r="7" spans="1:9" x14ac:dyDescent="0.35">
      <c r="A7" s="5" t="s">
        <v>4</v>
      </c>
      <c r="B7" s="89" t="str">
        <f>'Hoja de calculos prioridades'!H5</f>
        <v>No Pertinente</v>
      </c>
      <c r="C7" s="101" t="str">
        <f>'Hoja de calculos prioridades'!I5</f>
        <v/>
      </c>
      <c r="D7" s="127" t="str">
        <f t="shared" si="0"/>
        <v>Alta</v>
      </c>
      <c r="E7" s="124" t="str">
        <f t="shared" si="2"/>
        <v>No Pertinente</v>
      </c>
      <c r="F7" s="133" t="str">
        <f t="shared" si="1"/>
        <v>No Pertinente</v>
      </c>
      <c r="G7" s="103">
        <f>'(1) CARGA DE DATOS'!C6</f>
        <v>1</v>
      </c>
      <c r="H7" s="85" t="str">
        <f>'Hoja de calculos prioridades'!F5</f>
        <v/>
      </c>
      <c r="I7" s="99" t="str">
        <f>'Hoja de calculos prioridades'!C5</f>
        <v/>
      </c>
    </row>
    <row r="8" spans="1:9" x14ac:dyDescent="0.35">
      <c r="A8" s="5" t="s">
        <v>5</v>
      </c>
      <c r="B8" s="89" t="str">
        <f>'Hoja de calculos prioridades'!H6</f>
        <v>No Pertinente</v>
      </c>
      <c r="C8" s="101" t="str">
        <f>'Hoja de calculos prioridades'!I6</f>
        <v/>
      </c>
      <c r="D8" s="127" t="str">
        <f t="shared" si="0"/>
        <v>Media</v>
      </c>
      <c r="E8" s="124" t="str">
        <f t="shared" si="2"/>
        <v>No Pertinente</v>
      </c>
      <c r="F8" s="133" t="str">
        <f t="shared" si="1"/>
        <v>No Pertinente</v>
      </c>
      <c r="G8" s="103">
        <f>'(1) CARGA DE DATOS'!C7</f>
        <v>0.5</v>
      </c>
      <c r="H8" s="85" t="str">
        <f>'Hoja de calculos prioridades'!F6</f>
        <v/>
      </c>
      <c r="I8" s="99" t="str">
        <f>'Hoja de calculos prioridades'!C6</f>
        <v/>
      </c>
    </row>
    <row r="9" spans="1:9" x14ac:dyDescent="0.35">
      <c r="A9" s="5" t="s">
        <v>6</v>
      </c>
      <c r="B9" s="89" t="str">
        <f>'Hoja de calculos prioridades'!H7</f>
        <v>No Pertinente</v>
      </c>
      <c r="C9" s="101" t="str">
        <f>'Hoja de calculos prioridades'!I7</f>
        <v/>
      </c>
      <c r="D9" s="127" t="str">
        <f t="shared" si="0"/>
        <v>Alta</v>
      </c>
      <c r="E9" s="124" t="str">
        <f t="shared" si="2"/>
        <v>No Pertinente</v>
      </c>
      <c r="F9" s="133" t="str">
        <f t="shared" si="1"/>
        <v>No Pertinente</v>
      </c>
      <c r="G9" s="103">
        <f>'(1) CARGA DE DATOS'!C8</f>
        <v>1</v>
      </c>
      <c r="H9" s="85" t="str">
        <f>'Hoja de calculos prioridades'!F7</f>
        <v/>
      </c>
      <c r="I9" s="99" t="str">
        <f>'Hoja de calculos prioridades'!C7</f>
        <v/>
      </c>
    </row>
    <row r="10" spans="1:9" x14ac:dyDescent="0.35">
      <c r="A10" s="5" t="s">
        <v>7</v>
      </c>
      <c r="B10" s="89" t="str">
        <f>'Hoja de calculos prioridades'!H8</f>
        <v>No Pertinente</v>
      </c>
      <c r="C10" s="101" t="str">
        <f>'Hoja de calculos prioridades'!I8</f>
        <v/>
      </c>
      <c r="D10" s="127" t="str">
        <f t="shared" si="0"/>
        <v>Alta</v>
      </c>
      <c r="E10" s="124" t="str">
        <f t="shared" si="2"/>
        <v>No Pertinente</v>
      </c>
      <c r="F10" s="133" t="str">
        <f t="shared" si="1"/>
        <v>No Pertinente</v>
      </c>
      <c r="G10" s="103">
        <f>'(1) CARGA DE DATOS'!C9</f>
        <v>1</v>
      </c>
      <c r="H10" s="85" t="str">
        <f>'Hoja de calculos prioridades'!F8</f>
        <v/>
      </c>
      <c r="I10" s="99" t="str">
        <f>'Hoja de calculos prioridades'!C8</f>
        <v/>
      </c>
    </row>
    <row r="11" spans="1:9" x14ac:dyDescent="0.35">
      <c r="A11" s="5" t="s">
        <v>8</v>
      </c>
      <c r="B11" s="89" t="str">
        <f>'Hoja de calculos prioridades'!H9</f>
        <v>No Pertinente</v>
      </c>
      <c r="C11" s="101" t="str">
        <f>'Hoja de calculos prioridades'!I9</f>
        <v/>
      </c>
      <c r="D11" s="128" t="str">
        <f t="shared" si="0"/>
        <v>Alta</v>
      </c>
      <c r="E11" s="124" t="str">
        <f t="shared" si="2"/>
        <v>No Pertinente</v>
      </c>
      <c r="F11" s="134" t="str">
        <f t="shared" si="1"/>
        <v>No Pertinente</v>
      </c>
      <c r="G11" s="103">
        <f>'(1) CARGA DE DATOS'!C10</f>
        <v>1</v>
      </c>
      <c r="H11" s="85" t="str">
        <f>'Hoja de calculos prioridades'!F9</f>
        <v/>
      </c>
      <c r="I11" s="99" t="str">
        <f>'Hoja de calculos prioridades'!C9</f>
        <v/>
      </c>
    </row>
    <row r="12" spans="1:9" x14ac:dyDescent="0.35">
      <c r="A12" s="5" t="s">
        <v>9</v>
      </c>
      <c r="B12" s="89" t="str">
        <f>'Hoja de calculos prioridades'!H10</f>
        <v>No Pertinente</v>
      </c>
      <c r="C12" s="101" t="str">
        <f>'Hoja de calculos prioridades'!I10</f>
        <v/>
      </c>
      <c r="D12" s="127" t="str">
        <f t="shared" si="0"/>
        <v>Media-Baja</v>
      </c>
      <c r="E12" s="124" t="str">
        <f t="shared" si="2"/>
        <v>No Pertinente</v>
      </c>
      <c r="F12" s="133" t="str">
        <f t="shared" si="1"/>
        <v>No Pertinente</v>
      </c>
      <c r="G12" s="103">
        <f>'(1) CARGA DE DATOS'!C11</f>
        <v>0.25</v>
      </c>
      <c r="H12" s="85" t="str">
        <f>'Hoja de calculos prioridades'!F10</f>
        <v/>
      </c>
      <c r="I12" s="99" t="str">
        <f>'Hoja de calculos prioridades'!C10</f>
        <v/>
      </c>
    </row>
    <row r="13" spans="1:9" x14ac:dyDescent="0.35">
      <c r="A13" s="5" t="s">
        <v>10</v>
      </c>
      <c r="B13" s="89" t="str">
        <f>'Hoja de calculos prioridades'!H11</f>
        <v>No Pertinente</v>
      </c>
      <c r="C13" s="101" t="str">
        <f>'Hoja de calculos prioridades'!I11</f>
        <v/>
      </c>
      <c r="D13" s="127" t="str">
        <f t="shared" si="0"/>
        <v>Alta</v>
      </c>
      <c r="E13" s="125" t="str">
        <f t="shared" si="2"/>
        <v>No Pertinente</v>
      </c>
      <c r="F13" s="133" t="str">
        <f t="shared" si="1"/>
        <v>No Pertinente</v>
      </c>
      <c r="G13" s="103">
        <f>'(1) CARGA DE DATOS'!C12</f>
        <v>1</v>
      </c>
      <c r="H13" s="85" t="str">
        <f>'Hoja de calculos prioridades'!F11</f>
        <v/>
      </c>
      <c r="I13" s="99" t="str">
        <f>'Hoja de calculos prioridades'!C11</f>
        <v/>
      </c>
    </row>
    <row r="14" spans="1:9" x14ac:dyDescent="0.35">
      <c r="A14" s="5" t="s">
        <v>11</v>
      </c>
      <c r="B14" s="89" t="str">
        <f>'Hoja de calculos prioridades'!H12</f>
        <v>No Pertinente</v>
      </c>
      <c r="C14" s="101" t="str">
        <f>'Hoja de calculos prioridades'!I12</f>
        <v/>
      </c>
      <c r="D14" s="128" t="str">
        <f t="shared" si="0"/>
        <v>Media-Baja</v>
      </c>
      <c r="E14" s="124" t="str">
        <f t="shared" si="2"/>
        <v>No Pertinente</v>
      </c>
      <c r="F14" s="134" t="str">
        <f t="shared" si="1"/>
        <v>No Pertinente</v>
      </c>
      <c r="G14" s="103">
        <f>'(1) CARGA DE DATOS'!C13</f>
        <v>0.25</v>
      </c>
      <c r="H14" s="85" t="str">
        <f>'Hoja de calculos prioridades'!F12</f>
        <v/>
      </c>
      <c r="I14" s="99" t="str">
        <f>'Hoja de calculos prioridades'!C12</f>
        <v/>
      </c>
    </row>
    <row r="15" spans="1:9" x14ac:dyDescent="0.35">
      <c r="A15" s="5" t="s">
        <v>12</v>
      </c>
      <c r="B15" s="89" t="str">
        <f>'Hoja de calculos prioridades'!H13</f>
        <v>No Pertinente</v>
      </c>
      <c r="C15" s="101" t="str">
        <f>'Hoja de calculos prioridades'!I13</f>
        <v/>
      </c>
      <c r="D15" s="129" t="str">
        <f t="shared" si="0"/>
        <v>Alta</v>
      </c>
      <c r="E15" s="124" t="str">
        <f t="shared" si="2"/>
        <v>No Pertinente</v>
      </c>
      <c r="F15" s="133" t="str">
        <f t="shared" si="1"/>
        <v>No Pertinente</v>
      </c>
      <c r="G15" s="103">
        <f>'(1) CARGA DE DATOS'!C14</f>
        <v>1</v>
      </c>
      <c r="H15" s="85" t="str">
        <f>'Hoja de calculos prioridades'!F13</f>
        <v/>
      </c>
      <c r="I15" s="99" t="str">
        <f>'Hoja de calculos prioridades'!C13</f>
        <v/>
      </c>
    </row>
    <row r="16" spans="1:9" x14ac:dyDescent="0.35">
      <c r="A16" s="5" t="s">
        <v>13</v>
      </c>
      <c r="B16" s="89" t="str">
        <f>'Hoja de calculos prioridades'!H14</f>
        <v>No Pertinente</v>
      </c>
      <c r="C16" s="101" t="str">
        <f>'Hoja de calculos prioridades'!I14</f>
        <v/>
      </c>
      <c r="D16" s="129" t="str">
        <f t="shared" si="0"/>
        <v>Alta</v>
      </c>
      <c r="E16" s="124" t="str">
        <f t="shared" si="2"/>
        <v>No Pertinente</v>
      </c>
      <c r="F16" s="133" t="str">
        <f t="shared" si="1"/>
        <v>No Pertinente</v>
      </c>
      <c r="G16" s="103">
        <f>'(1) CARGA DE DATOS'!C15</f>
        <v>1</v>
      </c>
      <c r="H16" s="85" t="str">
        <f>'Hoja de calculos prioridades'!F14</f>
        <v/>
      </c>
      <c r="I16" s="99" t="str">
        <f>'Hoja de calculos prioridades'!C14</f>
        <v/>
      </c>
    </row>
    <row r="17" spans="1:11" x14ac:dyDescent="0.35">
      <c r="A17" s="5" t="s">
        <v>14</v>
      </c>
      <c r="B17" s="89" t="str">
        <f>'Hoja de calculos prioridades'!H15</f>
        <v>No Pertinente</v>
      </c>
      <c r="C17" s="101" t="str">
        <f>'Hoja de calculos prioridades'!I15</f>
        <v/>
      </c>
      <c r="D17" s="129" t="str">
        <f t="shared" si="0"/>
        <v>Alta</v>
      </c>
      <c r="E17" s="124" t="str">
        <f t="shared" si="2"/>
        <v>No Pertinente</v>
      </c>
      <c r="F17" s="133" t="str">
        <f t="shared" si="1"/>
        <v>No Pertinente</v>
      </c>
      <c r="G17" s="103">
        <f>'(1) CARGA DE DATOS'!C16</f>
        <v>1</v>
      </c>
      <c r="H17" s="85" t="str">
        <f>'Hoja de calculos prioridades'!F15</f>
        <v/>
      </c>
      <c r="I17" s="99" t="str">
        <f>'Hoja de calculos prioridades'!C15</f>
        <v/>
      </c>
    </row>
    <row r="18" spans="1:11" x14ac:dyDescent="0.35">
      <c r="A18" s="5" t="s">
        <v>15</v>
      </c>
      <c r="B18" s="89" t="str">
        <f>'Hoja de calculos prioridades'!H16</f>
        <v>No Pertinente</v>
      </c>
      <c r="C18" s="101" t="str">
        <f>'Hoja de calculos prioridades'!I16</f>
        <v/>
      </c>
      <c r="D18" s="129" t="str">
        <f t="shared" si="0"/>
        <v>Media</v>
      </c>
      <c r="E18" s="124" t="str">
        <f t="shared" si="2"/>
        <v>No Pertinente</v>
      </c>
      <c r="F18" s="133" t="str">
        <f t="shared" si="1"/>
        <v>No Pertinente</v>
      </c>
      <c r="G18" s="103">
        <f>'(1) CARGA DE DATOS'!C17</f>
        <v>0.5</v>
      </c>
      <c r="H18" s="85" t="str">
        <f>'Hoja de calculos prioridades'!F16</f>
        <v/>
      </c>
      <c r="I18" s="99" t="str">
        <f>'Hoja de calculos prioridades'!C16</f>
        <v/>
      </c>
      <c r="K18" s="100"/>
    </row>
    <row r="19" spans="1:11" x14ac:dyDescent="0.35">
      <c r="A19" s="5" t="s">
        <v>16</v>
      </c>
      <c r="B19" s="89" t="str">
        <f>'Hoja de calculos prioridades'!H17</f>
        <v>No Pertinente</v>
      </c>
      <c r="C19" s="101" t="str">
        <f>'Hoja de calculos prioridades'!I17</f>
        <v/>
      </c>
      <c r="D19" s="129" t="str">
        <f t="shared" si="0"/>
        <v>Media</v>
      </c>
      <c r="E19" s="124" t="str">
        <f t="shared" si="2"/>
        <v>No Pertinente</v>
      </c>
      <c r="F19" s="133" t="str">
        <f t="shared" si="1"/>
        <v>No Pertinente</v>
      </c>
      <c r="G19" s="103">
        <f>'(1) CARGA DE DATOS'!C18</f>
        <v>0.5</v>
      </c>
      <c r="H19" s="85" t="str">
        <f>'Hoja de calculos prioridades'!F17</f>
        <v/>
      </c>
      <c r="I19" s="99" t="str">
        <f>'Hoja de calculos prioridades'!C17</f>
        <v/>
      </c>
    </row>
    <row r="20" spans="1:11" x14ac:dyDescent="0.35">
      <c r="A20" s="6" t="s">
        <v>17</v>
      </c>
      <c r="B20" s="89" t="str">
        <f>'Hoja de calculos prioridades'!H18</f>
        <v>No Pertinente</v>
      </c>
      <c r="C20" s="101" t="str">
        <f>'Hoja de calculos prioridades'!I18</f>
        <v/>
      </c>
      <c r="D20" s="130" t="str">
        <f t="shared" si="0"/>
        <v>Alta</v>
      </c>
      <c r="E20" s="124" t="str">
        <f t="shared" si="2"/>
        <v>No Pertinente</v>
      </c>
      <c r="F20" s="134" t="str">
        <f t="shared" si="1"/>
        <v>No Pertinente</v>
      </c>
      <c r="G20" s="103">
        <f>'(1) CARGA DE DATOS'!C19</f>
        <v>1</v>
      </c>
      <c r="H20" s="85" t="str">
        <f>'Hoja de calculos prioridades'!F18</f>
        <v/>
      </c>
      <c r="I20" s="99" t="str">
        <f>'Hoja de calculos prioridades'!C18</f>
        <v/>
      </c>
    </row>
    <row r="21" spans="1:11" x14ac:dyDescent="0.35">
      <c r="A21" s="6" t="s">
        <v>18</v>
      </c>
      <c r="B21" s="89" t="str">
        <f>'Hoja de calculos prioridades'!H19</f>
        <v>No Pertinente</v>
      </c>
      <c r="C21" s="101" t="str">
        <f>'Hoja de calculos prioridades'!I19</f>
        <v/>
      </c>
      <c r="D21" s="129" t="str">
        <f t="shared" si="0"/>
        <v>Media-Alta</v>
      </c>
      <c r="E21" s="124" t="str">
        <f t="shared" si="2"/>
        <v>No Pertinente</v>
      </c>
      <c r="F21" s="133" t="str">
        <f t="shared" si="1"/>
        <v>No Pertinente</v>
      </c>
      <c r="G21" s="103">
        <f>'(1) CARGA DE DATOS'!C20</f>
        <v>0.75</v>
      </c>
      <c r="H21" s="85" t="str">
        <f>'Hoja de calculos prioridades'!F19</f>
        <v/>
      </c>
      <c r="I21" s="99" t="str">
        <f>'Hoja de calculos prioridades'!C19</f>
        <v/>
      </c>
    </row>
    <row r="22" spans="1:11" x14ac:dyDescent="0.35">
      <c r="A22" s="6" t="s">
        <v>19</v>
      </c>
      <c r="B22" s="89" t="str">
        <f>'Hoja de calculos prioridades'!H20</f>
        <v>No Pertinente</v>
      </c>
      <c r="C22" s="101" t="str">
        <f>'Hoja de calculos prioridades'!I20</f>
        <v/>
      </c>
      <c r="D22" s="129" t="str">
        <f t="shared" si="0"/>
        <v>Alta</v>
      </c>
      <c r="E22" s="124" t="str">
        <f t="shared" si="2"/>
        <v>No Pertinente</v>
      </c>
      <c r="F22" s="133" t="str">
        <f t="shared" si="1"/>
        <v>No Pertinente</v>
      </c>
      <c r="G22" s="103">
        <f>'(1) CARGA DE DATOS'!C21</f>
        <v>1</v>
      </c>
      <c r="H22" s="85" t="str">
        <f>'Hoja de calculos prioridades'!F20</f>
        <v/>
      </c>
      <c r="I22" s="99" t="str">
        <f>'Hoja de calculos prioridades'!C20</f>
        <v/>
      </c>
    </row>
    <row r="23" spans="1:11" x14ac:dyDescent="0.35">
      <c r="A23" s="6" t="s">
        <v>50</v>
      </c>
      <c r="B23" s="89" t="str">
        <f>'Hoja de calculos prioridades'!H21</f>
        <v>No Pertinente</v>
      </c>
      <c r="C23" s="101" t="str">
        <f>'Hoja de calculos prioridades'!I21</f>
        <v/>
      </c>
      <c r="D23" s="129" t="str">
        <f t="shared" si="0"/>
        <v>Alta</v>
      </c>
      <c r="E23" s="124" t="str">
        <f t="shared" si="2"/>
        <v>No Pertinente</v>
      </c>
      <c r="F23" s="133" t="str">
        <f t="shared" si="1"/>
        <v>No Pertinente</v>
      </c>
      <c r="G23" s="104">
        <f>'(1) CARGA DE DATOS'!C22</f>
        <v>1</v>
      </c>
      <c r="H23" s="85" t="str">
        <f>'Hoja de calculos prioridades'!F21</f>
        <v/>
      </c>
      <c r="I23" s="99" t="str">
        <f>'Hoja de calculos prioridades'!C21</f>
        <v/>
      </c>
    </row>
  </sheetData>
  <mergeCells count="1">
    <mergeCell ref="A1:I1"/>
  </mergeCells>
  <conditionalFormatting sqref="B4:B23">
    <cfRule type="cellIs" dxfId="20" priority="1" operator="equal">
      <formula>1</formula>
    </cfRule>
    <cfRule type="cellIs" dxfId="19" priority="2" operator="equal">
      <formula>3</formula>
    </cfRule>
    <cfRule type="cellIs" dxfId="18" priority="4" operator="equal">
      <formula>3</formula>
    </cfRule>
    <cfRule type="cellIs" dxfId="17" priority="5" operator="equal">
      <formula>2.5</formula>
    </cfRule>
    <cfRule type="cellIs" dxfId="16" priority="6" operator="equal">
      <formula>3</formula>
    </cfRule>
    <cfRule type="containsText" dxfId="15" priority="7" operator="containsText" text="No Pertinente">
      <formula>NOT(ISERROR(SEARCH("No Pertinente",B4)))</formula>
    </cfRule>
    <cfRule type="containsText" dxfId="14" priority="8" operator="containsText" text="No Pertinente">
      <formula>NOT(ISERROR(SEARCH("No Pertinente",B4)))</formula>
    </cfRule>
    <cfRule type="containsText" dxfId="13" priority="9" operator="containsText" text="Adecuado">
      <formula>NOT(ISERROR(SEARCH("Adecuado",B4)))</formula>
    </cfRule>
    <cfRule type="containsText" dxfId="12" priority="10" operator="containsText" text="Adecuado">
      <formula>NOT(ISERROR(SEARCH("Adecuado",B4)))</formula>
    </cfRule>
    <cfRule type="cellIs" dxfId="11" priority="12" operator="equal">
      <formula>3</formula>
    </cfRule>
    <cfRule type="cellIs" dxfId="10" priority="13" operator="equal">
      <formula>2</formula>
    </cfRule>
    <cfRule type="cellIs" dxfId="9" priority="14" operator="equal">
      <formula>1</formula>
    </cfRule>
    <cfRule type="cellIs" dxfId="8" priority="15" operator="equal">
      <formula>3</formula>
    </cfRule>
  </conditionalFormatting>
  <conditionalFormatting sqref="C4:C23">
    <cfRule type="cellIs" dxfId="7" priority="11" operator="equal">
      <formula>"No"</formula>
    </cfRule>
  </conditionalFormatting>
  <conditionalFormatting sqref="B8">
    <cfRule type="cellIs" dxfId="6" priority="3" operator="equal">
      <formula>3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id="{341B368B-EFBF-4EB9-BF5D-FD0671DB7B73}">
            <xm:f>'Hoja de calculos prioridades'!B4=3</xm:f>
            <x14:dxf>
              <fill>
                <patternFill>
                  <bgColor rgb="FF00B050"/>
                </patternFill>
              </fill>
            </x14:dxf>
          </x14:cfRule>
          <x14:cfRule type="expression" priority="17" id="{36BCC3CE-96C3-4651-A093-647970F533C7}">
            <xm:f>'Hoja de calculos prioridades'!B4=2</xm:f>
            <x14:dxf>
              <fill>
                <patternFill>
                  <bgColor rgb="FFFFFF00"/>
                </patternFill>
              </fill>
            </x14:dxf>
          </x14:cfRule>
          <x14:cfRule type="expression" priority="18" id="{C9F8BAAD-84DA-4903-8882-9D179C7329B3}">
            <xm:f>'Hoja de calculos prioridades'!B4=1</xm:f>
            <x14:dxf>
              <fill>
                <patternFill>
                  <bgColor rgb="FFFF0000"/>
                </patternFill>
              </fill>
            </x14:dxf>
          </x14:cfRule>
          <xm:sqref>B4:B23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61"/>
  <sheetViews>
    <sheetView topLeftCell="A13" workbookViewId="0">
      <selection activeCell="S37" sqref="S37"/>
    </sheetView>
  </sheetViews>
  <sheetFormatPr baseColWidth="10" defaultRowHeight="14.5" x14ac:dyDescent="0.35"/>
  <cols>
    <col min="1" max="1" width="61.453125" customWidth="1"/>
    <col min="4" max="5" width="0" hidden="1" customWidth="1"/>
    <col min="7" max="7" width="13.7265625" customWidth="1"/>
    <col min="8" max="8" width="15.81640625" customWidth="1"/>
    <col min="9" max="9" width="25" customWidth="1"/>
    <col min="11" max="11" width="9.26953125" customWidth="1"/>
    <col min="12" max="12" width="18.1796875" customWidth="1"/>
    <col min="13" max="13" width="14.54296875" customWidth="1"/>
    <col min="14" max="14" width="16.7265625" customWidth="1"/>
    <col min="16" max="16" width="17.1796875" customWidth="1"/>
    <col min="18" max="18" width="16" customWidth="1"/>
    <col min="19" max="19" width="14.54296875" customWidth="1"/>
  </cols>
  <sheetData>
    <row r="1" spans="1:19" x14ac:dyDescent="0.35">
      <c r="A1" s="2" t="s">
        <v>0</v>
      </c>
      <c r="B1" s="2" t="s">
        <v>104</v>
      </c>
      <c r="C1" s="2" t="s">
        <v>105</v>
      </c>
      <c r="D1" s="2" t="s">
        <v>106</v>
      </c>
      <c r="E1" s="2" t="s">
        <v>106</v>
      </c>
      <c r="F1" s="2" t="s">
        <v>106</v>
      </c>
      <c r="G1" s="86" t="s">
        <v>107</v>
      </c>
      <c r="H1" s="17" t="s">
        <v>108</v>
      </c>
      <c r="I1" s="17" t="s">
        <v>111</v>
      </c>
      <c r="L1" s="36" t="s">
        <v>41</v>
      </c>
      <c r="M1" s="79" t="s">
        <v>109</v>
      </c>
      <c r="N1" s="36" t="s">
        <v>45</v>
      </c>
      <c r="O1" s="79" t="s">
        <v>109</v>
      </c>
      <c r="P1" s="36" t="s">
        <v>42</v>
      </c>
      <c r="Q1" s="79" t="s">
        <v>109</v>
      </c>
      <c r="R1" t="s">
        <v>102</v>
      </c>
      <c r="S1" s="36" t="s">
        <v>34</v>
      </c>
    </row>
    <row r="2" spans="1:19" x14ac:dyDescent="0.35">
      <c r="A2" s="5" t="s">
        <v>1</v>
      </c>
      <c r="B2" s="85">
        <f>'(1) CARGA DE DATOS'!C3</f>
        <v>1</v>
      </c>
      <c r="C2" s="85" t="str">
        <f>IF(ISBLANK('(1) CARGA DE DATOS'!H3),"",'(1) CARGA DE DATOS'!H3)</f>
        <v/>
      </c>
      <c r="D2" s="85"/>
      <c r="E2" s="85"/>
      <c r="F2" s="85" t="str">
        <f>IF(ISBLANK('(1) CARGA DE DATOS'!F3),"",'(1) CARGA DE DATOS'!F3)</f>
        <v/>
      </c>
      <c r="G2" s="85" t="str">
        <f t="shared" ref="G2:G21" si="0">B2&amp;C2&amp;F2</f>
        <v>1</v>
      </c>
      <c r="H2" s="85" t="str">
        <f>VLOOKUP(G2,$R$2:$S$61,2,0)</f>
        <v>No Pertinente</v>
      </c>
      <c r="I2" s="85" t="str">
        <f t="shared" ref="I2:I21" si="1">IF(C2&lt;2,IF(C2&lt;1,"No","Si"),"")</f>
        <v/>
      </c>
      <c r="L2" s="37" t="s">
        <v>35</v>
      </c>
      <c r="M2" s="31">
        <v>1</v>
      </c>
      <c r="N2" s="4" t="s">
        <v>100</v>
      </c>
      <c r="O2" s="80">
        <v>1</v>
      </c>
      <c r="P2" s="33" t="s">
        <v>100</v>
      </c>
      <c r="Q2" s="80">
        <v>0</v>
      </c>
      <c r="R2" s="81" t="str">
        <f t="shared" ref="R2:R33" si="2">M2&amp;O2&amp;Q2</f>
        <v>110</v>
      </c>
      <c r="S2" s="4">
        <v>1</v>
      </c>
    </row>
    <row r="3" spans="1:19" x14ac:dyDescent="0.35">
      <c r="A3" s="5" t="s">
        <v>2</v>
      </c>
      <c r="B3" s="85">
        <f>'(1) CARGA DE DATOS'!C4</f>
        <v>0.75</v>
      </c>
      <c r="C3" s="85" t="str">
        <f>IF(ISBLANK('(1) CARGA DE DATOS'!H4),"",'(1) CARGA DE DATOS'!H4)</f>
        <v/>
      </c>
      <c r="D3" s="85"/>
      <c r="E3" s="85"/>
      <c r="F3" s="85" t="str">
        <f>IF(ISBLANK('(1) CARGA DE DATOS'!F4),"",'(1) CARGA DE DATOS'!F4)</f>
        <v/>
      </c>
      <c r="G3" s="85" t="str">
        <f t="shared" si="0"/>
        <v>0,75</v>
      </c>
      <c r="H3" s="85" t="str">
        <f t="shared" ref="H3:H21" si="3">VLOOKUP(G3,$R$2:$S$61,2,0)</f>
        <v>No Pertinente</v>
      </c>
      <c r="I3" s="85" t="str">
        <f t="shared" si="1"/>
        <v/>
      </c>
      <c r="L3" s="37" t="s">
        <v>35</v>
      </c>
      <c r="M3" s="31">
        <v>1</v>
      </c>
      <c r="N3" s="4" t="s">
        <v>101</v>
      </c>
      <c r="O3" s="31">
        <v>0</v>
      </c>
      <c r="P3" s="4" t="s">
        <v>101</v>
      </c>
      <c r="Q3" s="31">
        <v>0</v>
      </c>
      <c r="R3" s="81" t="str">
        <f t="shared" si="2"/>
        <v>100</v>
      </c>
      <c r="S3" s="4">
        <v>1</v>
      </c>
    </row>
    <row r="4" spans="1:19" x14ac:dyDescent="0.35">
      <c r="A4" s="5" t="s">
        <v>3</v>
      </c>
      <c r="B4" s="85">
        <f>'(1) CARGA DE DATOS'!C5</f>
        <v>0.75</v>
      </c>
      <c r="C4" s="85" t="str">
        <f>IF(ISBLANK('(1) CARGA DE DATOS'!H5),"",'(1) CARGA DE DATOS'!H5)</f>
        <v/>
      </c>
      <c r="D4" s="85"/>
      <c r="E4" s="85"/>
      <c r="F4" s="85" t="str">
        <f>IF(ISBLANK('(1) CARGA DE DATOS'!F5),"",'(1) CARGA DE DATOS'!F5)</f>
        <v/>
      </c>
      <c r="G4" s="85" t="str">
        <f t="shared" si="0"/>
        <v>0,75</v>
      </c>
      <c r="H4" s="85" t="str">
        <f t="shared" si="3"/>
        <v>No Pertinente</v>
      </c>
      <c r="I4" s="85" t="str">
        <f t="shared" si="1"/>
        <v/>
      </c>
      <c r="L4" s="37" t="s">
        <v>35</v>
      </c>
      <c r="M4" s="31">
        <v>1</v>
      </c>
      <c r="N4" s="4" t="s">
        <v>37</v>
      </c>
      <c r="O4" s="31">
        <v>2</v>
      </c>
      <c r="P4" s="4" t="s">
        <v>39</v>
      </c>
      <c r="Q4" s="31">
        <v>1</v>
      </c>
      <c r="R4" s="81" t="str">
        <f t="shared" si="2"/>
        <v>121</v>
      </c>
      <c r="S4" s="4">
        <v>1</v>
      </c>
    </row>
    <row r="5" spans="1:19" x14ac:dyDescent="0.35">
      <c r="A5" s="5" t="s">
        <v>4</v>
      </c>
      <c r="B5" s="85">
        <f>'(1) CARGA DE DATOS'!C6</f>
        <v>1</v>
      </c>
      <c r="C5" s="85" t="str">
        <f>IF(ISBLANK('(1) CARGA DE DATOS'!H6),"",'(1) CARGA DE DATOS'!H6)</f>
        <v/>
      </c>
      <c r="D5" s="85"/>
      <c r="E5" s="85"/>
      <c r="F5" s="85" t="str">
        <f>IF(ISBLANK('(1) CARGA DE DATOS'!F6),"",'(1) CARGA DE DATOS'!F6)</f>
        <v/>
      </c>
      <c r="G5" s="85" t="str">
        <f t="shared" si="0"/>
        <v>1</v>
      </c>
      <c r="H5" s="85" t="str">
        <f t="shared" si="3"/>
        <v>No Pertinente</v>
      </c>
      <c r="I5" s="85" t="str">
        <f t="shared" si="1"/>
        <v/>
      </c>
      <c r="L5" s="37" t="s">
        <v>35</v>
      </c>
      <c r="M5" s="31">
        <v>1</v>
      </c>
      <c r="N5" s="4" t="s">
        <v>36</v>
      </c>
      <c r="O5" s="31">
        <v>3</v>
      </c>
      <c r="P5" s="4" t="s">
        <v>39</v>
      </c>
      <c r="Q5" s="31">
        <v>1</v>
      </c>
      <c r="R5" s="81" t="str">
        <f t="shared" si="2"/>
        <v>131</v>
      </c>
      <c r="S5" s="4">
        <v>1</v>
      </c>
    </row>
    <row r="6" spans="1:19" x14ac:dyDescent="0.35">
      <c r="A6" s="5" t="s">
        <v>5</v>
      </c>
      <c r="B6" s="85">
        <f>'(1) CARGA DE DATOS'!C7</f>
        <v>0.5</v>
      </c>
      <c r="C6" s="85" t="str">
        <f>IF(ISBLANK('(1) CARGA DE DATOS'!H7),"",'(1) CARGA DE DATOS'!H7)</f>
        <v/>
      </c>
      <c r="D6" s="85"/>
      <c r="E6" s="85"/>
      <c r="F6" s="85" t="str">
        <f>IF(ISBLANK('(1) CARGA DE DATOS'!F7),"",'(1) CARGA DE DATOS'!F7)</f>
        <v/>
      </c>
      <c r="G6" s="85" t="str">
        <f t="shared" si="0"/>
        <v>0,5</v>
      </c>
      <c r="H6" s="85" t="str">
        <f t="shared" si="3"/>
        <v>No Pertinente</v>
      </c>
      <c r="I6" s="85" t="str">
        <f t="shared" si="1"/>
        <v/>
      </c>
      <c r="L6" s="37" t="s">
        <v>35</v>
      </c>
      <c r="M6" s="31">
        <v>1</v>
      </c>
      <c r="N6" s="4" t="s">
        <v>35</v>
      </c>
      <c r="O6" s="31">
        <v>4</v>
      </c>
      <c r="P6" s="4" t="s">
        <v>39</v>
      </c>
      <c r="Q6" s="31">
        <v>1</v>
      </c>
      <c r="R6" s="81" t="str">
        <f t="shared" si="2"/>
        <v>141</v>
      </c>
      <c r="S6" s="4">
        <v>1</v>
      </c>
    </row>
    <row r="7" spans="1:19" x14ac:dyDescent="0.35">
      <c r="A7" s="5" t="s">
        <v>6</v>
      </c>
      <c r="B7" s="85">
        <f>'(1) CARGA DE DATOS'!C8</f>
        <v>1</v>
      </c>
      <c r="C7" s="85" t="str">
        <f>IF(ISBLANK('(1) CARGA DE DATOS'!H8),"",'(1) CARGA DE DATOS'!H8)</f>
        <v/>
      </c>
      <c r="D7" s="85"/>
      <c r="E7" s="85"/>
      <c r="F7" s="85" t="str">
        <f>IF(ISBLANK('(1) CARGA DE DATOS'!F8),"",'(1) CARGA DE DATOS'!F8)</f>
        <v/>
      </c>
      <c r="G7" s="85" t="str">
        <f t="shared" si="0"/>
        <v>1</v>
      </c>
      <c r="H7" s="85" t="str">
        <f t="shared" si="3"/>
        <v>No Pertinente</v>
      </c>
      <c r="I7" s="85" t="str">
        <f t="shared" si="1"/>
        <v/>
      </c>
      <c r="L7" s="37" t="s">
        <v>35</v>
      </c>
      <c r="M7" s="31">
        <v>1</v>
      </c>
      <c r="N7" s="4" t="s">
        <v>35</v>
      </c>
      <c r="O7" s="31">
        <v>4</v>
      </c>
      <c r="P7" s="4" t="s">
        <v>36</v>
      </c>
      <c r="Q7" s="31">
        <v>2</v>
      </c>
      <c r="R7" s="81" t="str">
        <f t="shared" si="2"/>
        <v>142</v>
      </c>
      <c r="S7" s="4">
        <v>1</v>
      </c>
    </row>
    <row r="8" spans="1:19" x14ac:dyDescent="0.35">
      <c r="A8" s="5" t="s">
        <v>7</v>
      </c>
      <c r="B8" s="85">
        <f>'(1) CARGA DE DATOS'!C9</f>
        <v>1</v>
      </c>
      <c r="C8" s="85" t="str">
        <f>IF(ISBLANK('(1) CARGA DE DATOS'!H9),"",'(1) CARGA DE DATOS'!H9)</f>
        <v/>
      </c>
      <c r="D8" s="85"/>
      <c r="E8" s="85"/>
      <c r="F8" s="85" t="str">
        <f>IF(ISBLANK('(1) CARGA DE DATOS'!F9),"",'(1) CARGA DE DATOS'!F9)</f>
        <v/>
      </c>
      <c r="G8" s="85" t="str">
        <f t="shared" si="0"/>
        <v>1</v>
      </c>
      <c r="H8" s="85" t="str">
        <f t="shared" si="3"/>
        <v>No Pertinente</v>
      </c>
      <c r="I8" s="85" t="str">
        <f t="shared" si="1"/>
        <v/>
      </c>
      <c r="L8" s="37" t="s">
        <v>43</v>
      </c>
      <c r="M8" s="31">
        <v>0.75</v>
      </c>
      <c r="N8" s="4" t="s">
        <v>100</v>
      </c>
      <c r="O8" s="80">
        <v>1</v>
      </c>
      <c r="P8" s="33" t="s">
        <v>100</v>
      </c>
      <c r="Q8" s="80">
        <v>0</v>
      </c>
      <c r="R8" s="81" t="str">
        <f t="shared" si="2"/>
        <v>0,7510</v>
      </c>
      <c r="S8" s="4">
        <v>1</v>
      </c>
    </row>
    <row r="9" spans="1:19" x14ac:dyDescent="0.35">
      <c r="A9" s="5" t="s">
        <v>8</v>
      </c>
      <c r="B9" s="85">
        <f>'(1) CARGA DE DATOS'!C10</f>
        <v>1</v>
      </c>
      <c r="C9" s="85" t="str">
        <f>IF(ISBLANK('(1) CARGA DE DATOS'!H10),"",'(1) CARGA DE DATOS'!H10)</f>
        <v/>
      </c>
      <c r="D9" s="85"/>
      <c r="E9" s="85"/>
      <c r="F9" s="85" t="str">
        <f>IF(ISBLANK('(1) CARGA DE DATOS'!F10),"",'(1) CARGA DE DATOS'!F10)</f>
        <v/>
      </c>
      <c r="G9" s="85" t="str">
        <f t="shared" si="0"/>
        <v>1</v>
      </c>
      <c r="H9" s="85" t="str">
        <f t="shared" si="3"/>
        <v>No Pertinente</v>
      </c>
      <c r="I9" s="85" t="str">
        <f t="shared" si="1"/>
        <v/>
      </c>
      <c r="L9" s="37" t="s">
        <v>43</v>
      </c>
      <c r="M9" s="31">
        <v>0.75</v>
      </c>
      <c r="N9" s="4" t="s">
        <v>101</v>
      </c>
      <c r="O9" s="31">
        <v>0</v>
      </c>
      <c r="P9" s="4" t="s">
        <v>101</v>
      </c>
      <c r="Q9" s="31">
        <v>0</v>
      </c>
      <c r="R9" s="81" t="str">
        <f t="shared" si="2"/>
        <v>0,7500</v>
      </c>
      <c r="S9" s="4">
        <v>1</v>
      </c>
    </row>
    <row r="10" spans="1:19" x14ac:dyDescent="0.35">
      <c r="A10" s="5" t="s">
        <v>9</v>
      </c>
      <c r="B10" s="85">
        <f>'(1) CARGA DE DATOS'!C11</f>
        <v>0.25</v>
      </c>
      <c r="C10" s="85" t="str">
        <f>IF(ISBLANK('(1) CARGA DE DATOS'!H11),"",'(1) CARGA DE DATOS'!H11)</f>
        <v/>
      </c>
      <c r="D10" s="85"/>
      <c r="E10" s="85"/>
      <c r="F10" s="85" t="str">
        <f>IF(ISBLANK('(1) CARGA DE DATOS'!F11),"",'(1) CARGA DE DATOS'!F11)</f>
        <v/>
      </c>
      <c r="G10" s="85" t="str">
        <f t="shared" si="0"/>
        <v>0,25</v>
      </c>
      <c r="H10" s="85" t="str">
        <f>VLOOKUP(G10,$R$2:$S$61,2,0)</f>
        <v>No Pertinente</v>
      </c>
      <c r="I10" s="85" t="str">
        <f t="shared" si="1"/>
        <v/>
      </c>
      <c r="L10" s="37" t="s">
        <v>43</v>
      </c>
      <c r="M10" s="31">
        <v>0.75</v>
      </c>
      <c r="N10" s="4" t="s">
        <v>37</v>
      </c>
      <c r="O10" s="31">
        <v>2</v>
      </c>
      <c r="P10" s="4" t="s">
        <v>39</v>
      </c>
      <c r="Q10" s="31">
        <v>1</v>
      </c>
      <c r="R10" s="81" t="str">
        <f t="shared" si="2"/>
        <v>0,7521</v>
      </c>
      <c r="S10" s="4">
        <v>1</v>
      </c>
    </row>
    <row r="11" spans="1:19" x14ac:dyDescent="0.35">
      <c r="A11" s="5" t="s">
        <v>10</v>
      </c>
      <c r="B11" s="85">
        <f>'(1) CARGA DE DATOS'!C12</f>
        <v>1</v>
      </c>
      <c r="C11" s="85" t="str">
        <f>IF(ISBLANK('(1) CARGA DE DATOS'!H12),"",'(1) CARGA DE DATOS'!H12)</f>
        <v/>
      </c>
      <c r="D11" s="85"/>
      <c r="E11" s="85"/>
      <c r="F11" s="85" t="str">
        <f>IF(ISBLANK('(1) CARGA DE DATOS'!F12),"",'(1) CARGA DE DATOS'!F12)</f>
        <v/>
      </c>
      <c r="G11" s="85" t="str">
        <f t="shared" si="0"/>
        <v>1</v>
      </c>
      <c r="H11" s="85" t="str">
        <f t="shared" si="3"/>
        <v>No Pertinente</v>
      </c>
      <c r="I11" s="85" t="str">
        <f t="shared" si="1"/>
        <v/>
      </c>
      <c r="L11" s="37" t="s">
        <v>43</v>
      </c>
      <c r="M11" s="31">
        <v>0.75</v>
      </c>
      <c r="N11" s="4" t="s">
        <v>36</v>
      </c>
      <c r="O11" s="31">
        <v>3</v>
      </c>
      <c r="P11" s="4" t="s">
        <v>39</v>
      </c>
      <c r="Q11" s="31">
        <v>1</v>
      </c>
      <c r="R11" s="81" t="str">
        <f t="shared" si="2"/>
        <v>0,7531</v>
      </c>
      <c r="S11" s="4">
        <v>1</v>
      </c>
    </row>
    <row r="12" spans="1:19" x14ac:dyDescent="0.35">
      <c r="A12" s="5" t="s">
        <v>11</v>
      </c>
      <c r="B12" s="85">
        <f>'(1) CARGA DE DATOS'!C13</f>
        <v>0.25</v>
      </c>
      <c r="C12" s="85" t="str">
        <f>IF(ISBLANK('(1) CARGA DE DATOS'!H13),"",'(1) CARGA DE DATOS'!H13)</f>
        <v/>
      </c>
      <c r="D12" s="85"/>
      <c r="E12" s="85"/>
      <c r="F12" s="85" t="str">
        <f>IF(ISBLANK('(1) CARGA DE DATOS'!F13),"",'(1) CARGA DE DATOS'!F13)</f>
        <v/>
      </c>
      <c r="G12" s="85" t="str">
        <f t="shared" si="0"/>
        <v>0,25</v>
      </c>
      <c r="H12" s="85" t="str">
        <f t="shared" si="3"/>
        <v>No Pertinente</v>
      </c>
      <c r="I12" s="85" t="str">
        <f t="shared" si="1"/>
        <v/>
      </c>
      <c r="L12" s="37" t="s">
        <v>43</v>
      </c>
      <c r="M12" s="31">
        <v>0.75</v>
      </c>
      <c r="N12" s="4" t="s">
        <v>35</v>
      </c>
      <c r="O12" s="31">
        <v>4</v>
      </c>
      <c r="P12" s="4" t="s">
        <v>39</v>
      </c>
      <c r="Q12" s="31">
        <v>1</v>
      </c>
      <c r="R12" s="81" t="str">
        <f t="shared" si="2"/>
        <v>0,7541</v>
      </c>
      <c r="S12" s="4">
        <v>1</v>
      </c>
    </row>
    <row r="13" spans="1:19" x14ac:dyDescent="0.35">
      <c r="A13" s="5" t="s">
        <v>12</v>
      </c>
      <c r="B13" s="85">
        <f>'(1) CARGA DE DATOS'!C14</f>
        <v>1</v>
      </c>
      <c r="C13" s="85" t="str">
        <f>IF(ISBLANK('(1) CARGA DE DATOS'!H14),"",'(1) CARGA DE DATOS'!H14)</f>
        <v/>
      </c>
      <c r="D13" s="85"/>
      <c r="E13" s="85"/>
      <c r="F13" s="85" t="str">
        <f>IF(ISBLANK('(1) CARGA DE DATOS'!F14),"",'(1) CARGA DE DATOS'!F14)</f>
        <v/>
      </c>
      <c r="G13" s="85" t="str">
        <f t="shared" si="0"/>
        <v>1</v>
      </c>
      <c r="H13" s="85" t="str">
        <f t="shared" si="3"/>
        <v>No Pertinente</v>
      </c>
      <c r="I13" s="85" t="str">
        <f t="shared" si="1"/>
        <v/>
      </c>
      <c r="L13" s="37" t="s">
        <v>43</v>
      </c>
      <c r="M13" s="31">
        <v>0.75</v>
      </c>
      <c r="N13" s="4" t="s">
        <v>35</v>
      </c>
      <c r="O13" s="31">
        <v>4</v>
      </c>
      <c r="P13" s="4" t="s">
        <v>36</v>
      </c>
      <c r="Q13" s="31">
        <v>2</v>
      </c>
      <c r="R13" s="81" t="str">
        <f t="shared" si="2"/>
        <v>0,7542</v>
      </c>
      <c r="S13" s="4">
        <v>1</v>
      </c>
    </row>
    <row r="14" spans="1:19" x14ac:dyDescent="0.35">
      <c r="A14" s="5" t="s">
        <v>13</v>
      </c>
      <c r="B14" s="85">
        <f>'(1) CARGA DE DATOS'!C15</f>
        <v>1</v>
      </c>
      <c r="C14" s="85" t="str">
        <f>IF(ISBLANK('(1) CARGA DE DATOS'!H15),"",'(1) CARGA DE DATOS'!H15)</f>
        <v/>
      </c>
      <c r="D14" s="85"/>
      <c r="E14" s="85"/>
      <c r="F14" s="85" t="str">
        <f>IF(ISBLANK('(1) CARGA DE DATOS'!F15),"",'(1) CARGA DE DATOS'!F15)</f>
        <v/>
      </c>
      <c r="G14" s="85" t="str">
        <f t="shared" si="0"/>
        <v>1</v>
      </c>
      <c r="H14" s="85" t="str">
        <f t="shared" si="3"/>
        <v>No Pertinente</v>
      </c>
      <c r="I14" s="85" t="str">
        <f t="shared" si="1"/>
        <v/>
      </c>
      <c r="L14" s="37" t="s">
        <v>35</v>
      </c>
      <c r="M14" s="31">
        <v>1</v>
      </c>
      <c r="N14" s="4" t="s">
        <v>37</v>
      </c>
      <c r="O14" s="31">
        <v>2</v>
      </c>
      <c r="P14" s="4" t="s">
        <v>36</v>
      </c>
      <c r="Q14" s="31">
        <v>2</v>
      </c>
      <c r="R14" s="81" t="str">
        <f t="shared" si="2"/>
        <v>122</v>
      </c>
      <c r="S14" s="4">
        <v>2</v>
      </c>
    </row>
    <row r="15" spans="1:19" x14ac:dyDescent="0.35">
      <c r="A15" s="5" t="s">
        <v>14</v>
      </c>
      <c r="B15" s="85">
        <f>'(1) CARGA DE DATOS'!C16</f>
        <v>1</v>
      </c>
      <c r="C15" s="85" t="str">
        <f>IF(ISBLANK('(1) CARGA DE DATOS'!H16),"",'(1) CARGA DE DATOS'!H16)</f>
        <v/>
      </c>
      <c r="D15" s="85"/>
      <c r="E15" s="85"/>
      <c r="F15" s="85" t="str">
        <f>IF(ISBLANK('(1) CARGA DE DATOS'!F16),"",'(1) CARGA DE DATOS'!F16)</f>
        <v/>
      </c>
      <c r="G15" s="85" t="str">
        <f t="shared" si="0"/>
        <v>1</v>
      </c>
      <c r="H15" s="85" t="str">
        <f t="shared" si="3"/>
        <v>No Pertinente</v>
      </c>
      <c r="I15" s="85" t="str">
        <f t="shared" si="1"/>
        <v/>
      </c>
      <c r="L15" s="37" t="s">
        <v>35</v>
      </c>
      <c r="M15" s="31">
        <v>1</v>
      </c>
      <c r="N15" s="4" t="s">
        <v>37</v>
      </c>
      <c r="O15" s="31">
        <v>2</v>
      </c>
      <c r="P15" s="4" t="s">
        <v>40</v>
      </c>
      <c r="Q15" s="31">
        <v>3</v>
      </c>
      <c r="R15" s="81" t="str">
        <f t="shared" si="2"/>
        <v>123</v>
      </c>
      <c r="S15" s="4">
        <v>2</v>
      </c>
    </row>
    <row r="16" spans="1:19" x14ac:dyDescent="0.35">
      <c r="A16" s="5" t="s">
        <v>15</v>
      </c>
      <c r="B16" s="85">
        <f>'(1) CARGA DE DATOS'!C17</f>
        <v>0.5</v>
      </c>
      <c r="C16" s="85" t="str">
        <f>IF(ISBLANK('(1) CARGA DE DATOS'!H17),"",'(1) CARGA DE DATOS'!H17)</f>
        <v/>
      </c>
      <c r="D16" s="85"/>
      <c r="E16" s="85"/>
      <c r="F16" s="85" t="str">
        <f>IF(ISBLANK('(1) CARGA DE DATOS'!F17),"",'(1) CARGA DE DATOS'!F17)</f>
        <v/>
      </c>
      <c r="G16" s="85" t="str">
        <f t="shared" si="0"/>
        <v>0,5</v>
      </c>
      <c r="H16" s="85" t="str">
        <f t="shared" si="3"/>
        <v>No Pertinente</v>
      </c>
      <c r="I16" s="85" t="str">
        <f t="shared" si="1"/>
        <v/>
      </c>
      <c r="L16" s="37" t="s">
        <v>35</v>
      </c>
      <c r="M16" s="31">
        <v>1</v>
      </c>
      <c r="N16" s="4" t="s">
        <v>36</v>
      </c>
      <c r="O16" s="31">
        <v>3</v>
      </c>
      <c r="P16" s="4" t="s">
        <v>36</v>
      </c>
      <c r="Q16" s="31">
        <v>2</v>
      </c>
      <c r="R16" s="81" t="str">
        <f t="shared" si="2"/>
        <v>132</v>
      </c>
      <c r="S16" s="4">
        <v>2</v>
      </c>
    </row>
    <row r="17" spans="1:19" x14ac:dyDescent="0.35">
      <c r="A17" s="5" t="s">
        <v>16</v>
      </c>
      <c r="B17" s="85">
        <f>'(1) CARGA DE DATOS'!C18</f>
        <v>0.5</v>
      </c>
      <c r="C17" s="85" t="str">
        <f>IF(ISBLANK('(1) CARGA DE DATOS'!H18),"",'(1) CARGA DE DATOS'!H18)</f>
        <v/>
      </c>
      <c r="D17" s="85"/>
      <c r="E17" s="85"/>
      <c r="F17" s="85" t="str">
        <f>IF(ISBLANK('(1) CARGA DE DATOS'!F18),"",'(1) CARGA DE DATOS'!F18)</f>
        <v/>
      </c>
      <c r="G17" s="85" t="str">
        <f t="shared" si="0"/>
        <v>0,5</v>
      </c>
      <c r="H17" s="85" t="str">
        <f t="shared" si="3"/>
        <v>No Pertinente</v>
      </c>
      <c r="I17" s="85" t="str">
        <f t="shared" si="1"/>
        <v/>
      </c>
      <c r="L17" s="37" t="s">
        <v>43</v>
      </c>
      <c r="M17" s="31">
        <v>0.75</v>
      </c>
      <c r="N17" s="4" t="s">
        <v>37</v>
      </c>
      <c r="O17" s="31">
        <v>2</v>
      </c>
      <c r="P17" s="4" t="s">
        <v>36</v>
      </c>
      <c r="Q17" s="31">
        <v>2</v>
      </c>
      <c r="R17" s="81" t="str">
        <f t="shared" si="2"/>
        <v>0,7522</v>
      </c>
      <c r="S17" s="4">
        <v>2</v>
      </c>
    </row>
    <row r="18" spans="1:19" x14ac:dyDescent="0.35">
      <c r="A18" s="6" t="s">
        <v>17</v>
      </c>
      <c r="B18" s="85">
        <f>'(1) CARGA DE DATOS'!C19</f>
        <v>1</v>
      </c>
      <c r="C18" s="85" t="str">
        <f>IF(ISBLANK('(1) CARGA DE DATOS'!H19),"",'(1) CARGA DE DATOS'!H19)</f>
        <v/>
      </c>
      <c r="D18" s="85"/>
      <c r="E18" s="85"/>
      <c r="F18" s="85" t="str">
        <f>IF(ISBLANK('(1) CARGA DE DATOS'!F19),"",'(1) CARGA DE DATOS'!F19)</f>
        <v/>
      </c>
      <c r="G18" s="85" t="str">
        <f t="shared" si="0"/>
        <v>1</v>
      </c>
      <c r="H18" s="85" t="str">
        <f t="shared" si="3"/>
        <v>No Pertinente</v>
      </c>
      <c r="I18" s="85" t="str">
        <f t="shared" si="1"/>
        <v/>
      </c>
      <c r="L18" s="37" t="s">
        <v>43</v>
      </c>
      <c r="M18" s="31">
        <v>0.75</v>
      </c>
      <c r="N18" s="4" t="s">
        <v>37</v>
      </c>
      <c r="O18" s="31">
        <v>2</v>
      </c>
      <c r="P18" s="4" t="s">
        <v>40</v>
      </c>
      <c r="Q18" s="31">
        <v>3</v>
      </c>
      <c r="R18" s="81" t="str">
        <f t="shared" si="2"/>
        <v>0,7523</v>
      </c>
      <c r="S18" s="4">
        <v>2</v>
      </c>
    </row>
    <row r="19" spans="1:19" x14ac:dyDescent="0.35">
      <c r="A19" s="6" t="s">
        <v>18</v>
      </c>
      <c r="B19" s="85">
        <f>'(1) CARGA DE DATOS'!C20</f>
        <v>0.75</v>
      </c>
      <c r="C19" s="85" t="str">
        <f>IF(ISBLANK('(1) CARGA DE DATOS'!H20),"",'(1) CARGA DE DATOS'!H20)</f>
        <v/>
      </c>
      <c r="D19" s="85"/>
      <c r="E19" s="85"/>
      <c r="F19" s="85" t="str">
        <f>IF(ISBLANK('(1) CARGA DE DATOS'!F20),"",'(1) CARGA DE DATOS'!F20)</f>
        <v/>
      </c>
      <c r="G19" s="85" t="str">
        <f t="shared" si="0"/>
        <v>0,75</v>
      </c>
      <c r="H19" s="85" t="str">
        <f t="shared" si="3"/>
        <v>No Pertinente</v>
      </c>
      <c r="I19" s="85" t="str">
        <f t="shared" si="1"/>
        <v/>
      </c>
      <c r="L19" s="37" t="s">
        <v>43</v>
      </c>
      <c r="M19" s="31">
        <v>0.75</v>
      </c>
      <c r="N19" s="4" t="s">
        <v>36</v>
      </c>
      <c r="O19" s="31">
        <v>3</v>
      </c>
      <c r="P19" s="4" t="s">
        <v>36</v>
      </c>
      <c r="Q19" s="31">
        <v>2</v>
      </c>
      <c r="R19" s="81" t="str">
        <f t="shared" si="2"/>
        <v>0,7532</v>
      </c>
      <c r="S19" s="4">
        <v>2</v>
      </c>
    </row>
    <row r="20" spans="1:19" x14ac:dyDescent="0.35">
      <c r="A20" s="6" t="s">
        <v>19</v>
      </c>
      <c r="B20" s="85">
        <f>'(1) CARGA DE DATOS'!C21</f>
        <v>1</v>
      </c>
      <c r="C20" s="85" t="str">
        <f>IF(ISBLANK('(1) CARGA DE DATOS'!H21),"",'(1) CARGA DE DATOS'!H21)</f>
        <v/>
      </c>
      <c r="D20" s="85"/>
      <c r="E20" s="85"/>
      <c r="F20" s="85" t="str">
        <f>IF(ISBLANK('(1) CARGA DE DATOS'!F21),"",'(1) CARGA DE DATOS'!F21)</f>
        <v/>
      </c>
      <c r="G20" s="85" t="str">
        <f t="shared" si="0"/>
        <v>1</v>
      </c>
      <c r="H20" s="85" t="str">
        <f t="shared" si="3"/>
        <v>No Pertinente</v>
      </c>
      <c r="I20" s="85" t="str">
        <f t="shared" si="1"/>
        <v/>
      </c>
      <c r="L20" s="37" t="s">
        <v>36</v>
      </c>
      <c r="M20" s="31">
        <v>0.5</v>
      </c>
      <c r="N20" s="4" t="s">
        <v>100</v>
      </c>
      <c r="O20" s="80">
        <v>1</v>
      </c>
      <c r="P20" s="33" t="s">
        <v>100</v>
      </c>
      <c r="Q20" s="80">
        <v>0</v>
      </c>
      <c r="R20" s="81" t="str">
        <f t="shared" si="2"/>
        <v>0,510</v>
      </c>
      <c r="S20" s="4">
        <v>2</v>
      </c>
    </row>
    <row r="21" spans="1:19" x14ac:dyDescent="0.35">
      <c r="A21" s="6" t="s">
        <v>50</v>
      </c>
      <c r="B21" s="85">
        <f>'(1) CARGA DE DATOS'!C22</f>
        <v>1</v>
      </c>
      <c r="C21" s="85" t="str">
        <f>IF(ISBLANK('(1) CARGA DE DATOS'!H22),"",'(1) CARGA DE DATOS'!H22)</f>
        <v/>
      </c>
      <c r="D21" s="85"/>
      <c r="E21" s="85"/>
      <c r="F21" s="85" t="str">
        <f>IF(ISBLANK('(1) CARGA DE DATOS'!F22),"",'(1) CARGA DE DATOS'!F22)</f>
        <v/>
      </c>
      <c r="G21" s="85" t="str">
        <f t="shared" si="0"/>
        <v>1</v>
      </c>
      <c r="H21" s="85" t="str">
        <f t="shared" si="3"/>
        <v>No Pertinente</v>
      </c>
      <c r="I21" s="85" t="str">
        <f t="shared" si="1"/>
        <v/>
      </c>
      <c r="L21" s="37" t="s">
        <v>36</v>
      </c>
      <c r="M21" s="31">
        <v>0.5</v>
      </c>
      <c r="N21" s="4" t="s">
        <v>101</v>
      </c>
      <c r="O21" s="31">
        <v>0</v>
      </c>
      <c r="P21" s="4" t="s">
        <v>101</v>
      </c>
      <c r="Q21" s="31">
        <v>0</v>
      </c>
      <c r="R21" s="81" t="str">
        <f t="shared" si="2"/>
        <v>0,500</v>
      </c>
      <c r="S21" s="4">
        <v>2</v>
      </c>
    </row>
    <row r="22" spans="1:19" x14ac:dyDescent="0.35">
      <c r="L22" s="37" t="s">
        <v>36</v>
      </c>
      <c r="M22" s="31">
        <v>0.5</v>
      </c>
      <c r="N22" s="4" t="s">
        <v>37</v>
      </c>
      <c r="O22" s="31">
        <v>2</v>
      </c>
      <c r="P22" s="4" t="s">
        <v>39</v>
      </c>
      <c r="Q22" s="31">
        <v>1</v>
      </c>
      <c r="R22" s="81" t="str">
        <f t="shared" si="2"/>
        <v>0,521</v>
      </c>
      <c r="S22" s="4">
        <v>2</v>
      </c>
    </row>
    <row r="23" spans="1:19" x14ac:dyDescent="0.35">
      <c r="L23" s="37" t="s">
        <v>36</v>
      </c>
      <c r="M23" s="31">
        <v>0.5</v>
      </c>
      <c r="N23" s="4" t="s">
        <v>36</v>
      </c>
      <c r="O23" s="31">
        <v>3</v>
      </c>
      <c r="P23" s="4" t="s">
        <v>39</v>
      </c>
      <c r="Q23" s="31">
        <v>1</v>
      </c>
      <c r="R23" s="81" t="str">
        <f t="shared" si="2"/>
        <v>0,531</v>
      </c>
      <c r="S23" s="4">
        <v>2</v>
      </c>
    </row>
    <row r="24" spans="1:19" x14ac:dyDescent="0.35">
      <c r="L24" s="37" t="s">
        <v>36</v>
      </c>
      <c r="M24" s="31">
        <v>0.5</v>
      </c>
      <c r="N24" s="4" t="s">
        <v>35</v>
      </c>
      <c r="O24" s="31">
        <v>4</v>
      </c>
      <c r="P24" s="4" t="s">
        <v>39</v>
      </c>
      <c r="Q24" s="31">
        <v>1</v>
      </c>
      <c r="R24" s="81" t="str">
        <f t="shared" si="2"/>
        <v>0,541</v>
      </c>
      <c r="S24" s="4">
        <v>2</v>
      </c>
    </row>
    <row r="25" spans="1:19" x14ac:dyDescent="0.35">
      <c r="L25" s="37" t="s">
        <v>36</v>
      </c>
      <c r="M25" s="31">
        <v>0.5</v>
      </c>
      <c r="N25" s="4" t="s">
        <v>35</v>
      </c>
      <c r="O25" s="31">
        <v>4</v>
      </c>
      <c r="P25" s="4" t="s">
        <v>36</v>
      </c>
      <c r="Q25" s="31">
        <v>2</v>
      </c>
      <c r="R25" s="81" t="str">
        <f t="shared" si="2"/>
        <v>0,542</v>
      </c>
      <c r="S25" s="4">
        <v>2</v>
      </c>
    </row>
    <row r="26" spans="1:19" x14ac:dyDescent="0.35">
      <c r="L26" s="37" t="s">
        <v>44</v>
      </c>
      <c r="M26" s="31">
        <v>0.25</v>
      </c>
      <c r="N26" s="4" t="s">
        <v>36</v>
      </c>
      <c r="O26" s="31">
        <v>3</v>
      </c>
      <c r="P26" s="4" t="s">
        <v>39</v>
      </c>
      <c r="Q26" s="31">
        <v>1</v>
      </c>
      <c r="R26" s="81" t="str">
        <f t="shared" si="2"/>
        <v>0,2531</v>
      </c>
      <c r="S26" s="4">
        <v>2</v>
      </c>
    </row>
    <row r="27" spans="1:19" x14ac:dyDescent="0.35">
      <c r="L27" s="37" t="s">
        <v>44</v>
      </c>
      <c r="M27" s="31">
        <v>0.25</v>
      </c>
      <c r="N27" s="4" t="s">
        <v>35</v>
      </c>
      <c r="O27" s="31">
        <v>4</v>
      </c>
      <c r="P27" s="4" t="s">
        <v>39</v>
      </c>
      <c r="Q27" s="31">
        <v>1</v>
      </c>
      <c r="R27" s="81" t="str">
        <f t="shared" si="2"/>
        <v>0,2541</v>
      </c>
      <c r="S27" s="4">
        <v>2</v>
      </c>
    </row>
    <row r="28" spans="1:19" x14ac:dyDescent="0.35">
      <c r="L28" s="37" t="s">
        <v>35</v>
      </c>
      <c r="M28" s="31">
        <v>1</v>
      </c>
      <c r="N28" s="4" t="s">
        <v>36</v>
      </c>
      <c r="O28" s="31">
        <v>3</v>
      </c>
      <c r="P28" s="4" t="s">
        <v>40</v>
      </c>
      <c r="Q28" s="31">
        <v>3</v>
      </c>
      <c r="R28" s="81" t="str">
        <f t="shared" si="2"/>
        <v>133</v>
      </c>
      <c r="S28" s="4">
        <v>3</v>
      </c>
    </row>
    <row r="29" spans="1:19" x14ac:dyDescent="0.35">
      <c r="L29" s="37" t="s">
        <v>43</v>
      </c>
      <c r="M29" s="31">
        <v>0.75</v>
      </c>
      <c r="N29" s="4" t="s">
        <v>36</v>
      </c>
      <c r="O29" s="31">
        <v>3</v>
      </c>
      <c r="P29" s="4" t="s">
        <v>40</v>
      </c>
      <c r="Q29" s="31">
        <v>3</v>
      </c>
      <c r="R29" s="81" t="str">
        <f t="shared" si="2"/>
        <v>0,7533</v>
      </c>
      <c r="S29" s="4">
        <v>3</v>
      </c>
    </row>
    <row r="30" spans="1:19" x14ac:dyDescent="0.35">
      <c r="L30" s="37" t="s">
        <v>36</v>
      </c>
      <c r="M30" s="31">
        <v>0.5</v>
      </c>
      <c r="N30" s="4" t="s">
        <v>37</v>
      </c>
      <c r="O30" s="31">
        <v>2</v>
      </c>
      <c r="P30" s="4" t="s">
        <v>38</v>
      </c>
      <c r="Q30" s="31">
        <v>2</v>
      </c>
      <c r="R30" s="81" t="str">
        <f t="shared" si="2"/>
        <v>0,522</v>
      </c>
      <c r="S30" s="4">
        <v>3</v>
      </c>
    </row>
    <row r="31" spans="1:19" x14ac:dyDescent="0.35">
      <c r="L31" s="37" t="s">
        <v>36</v>
      </c>
      <c r="M31" s="31">
        <v>0.5</v>
      </c>
      <c r="N31" s="4" t="s">
        <v>37</v>
      </c>
      <c r="O31" s="31">
        <v>2</v>
      </c>
      <c r="P31" s="4" t="s">
        <v>40</v>
      </c>
      <c r="Q31" s="31">
        <v>3</v>
      </c>
      <c r="R31" s="81" t="str">
        <f t="shared" si="2"/>
        <v>0,523</v>
      </c>
      <c r="S31" s="4">
        <v>3</v>
      </c>
    </row>
    <row r="32" spans="1:19" x14ac:dyDescent="0.35">
      <c r="L32" s="37" t="s">
        <v>36</v>
      </c>
      <c r="M32" s="31">
        <v>0.5</v>
      </c>
      <c r="N32" s="4" t="s">
        <v>36</v>
      </c>
      <c r="O32" s="31">
        <v>3</v>
      </c>
      <c r="P32" s="4" t="s">
        <v>38</v>
      </c>
      <c r="Q32" s="31">
        <v>2</v>
      </c>
      <c r="R32" s="81" t="str">
        <f t="shared" si="2"/>
        <v>0,532</v>
      </c>
      <c r="S32" s="4">
        <v>3</v>
      </c>
    </row>
    <row r="33" spans="12:19" x14ac:dyDescent="0.35">
      <c r="L33" s="37" t="s">
        <v>36</v>
      </c>
      <c r="M33" s="31">
        <v>0.5</v>
      </c>
      <c r="N33" s="4" t="s">
        <v>36</v>
      </c>
      <c r="O33" s="31">
        <v>3</v>
      </c>
      <c r="P33" s="4" t="s">
        <v>40</v>
      </c>
      <c r="Q33" s="31">
        <v>3</v>
      </c>
      <c r="R33" s="81" t="str">
        <f t="shared" si="2"/>
        <v>0,533</v>
      </c>
      <c r="S33" s="4">
        <v>3</v>
      </c>
    </row>
    <row r="34" spans="12:19" x14ac:dyDescent="0.35">
      <c r="L34" s="37" t="s">
        <v>44</v>
      </c>
      <c r="M34" s="31">
        <v>0.25</v>
      </c>
      <c r="N34" s="4" t="s">
        <v>100</v>
      </c>
      <c r="O34" s="80">
        <v>1</v>
      </c>
      <c r="P34" s="33" t="s">
        <v>100</v>
      </c>
      <c r="Q34" s="80">
        <v>0</v>
      </c>
      <c r="R34" s="81" t="str">
        <f t="shared" ref="R34:R61" si="4">M34&amp;O34&amp;Q34</f>
        <v>0,2510</v>
      </c>
      <c r="S34" s="4">
        <v>3</v>
      </c>
    </row>
    <row r="35" spans="12:19" x14ac:dyDescent="0.35">
      <c r="L35" s="37" t="s">
        <v>44</v>
      </c>
      <c r="M35" s="31">
        <v>0.25</v>
      </c>
      <c r="N35" s="4" t="s">
        <v>101</v>
      </c>
      <c r="O35" s="31">
        <v>0</v>
      </c>
      <c r="P35" s="4" t="s">
        <v>101</v>
      </c>
      <c r="Q35" s="31">
        <v>0</v>
      </c>
      <c r="R35" s="81" t="str">
        <f t="shared" si="4"/>
        <v>0,2500</v>
      </c>
      <c r="S35" s="4">
        <v>3</v>
      </c>
    </row>
    <row r="36" spans="12:19" x14ac:dyDescent="0.35">
      <c r="L36" s="37" t="s">
        <v>44</v>
      </c>
      <c r="M36" s="31">
        <v>0.25</v>
      </c>
      <c r="N36" s="4" t="s">
        <v>37</v>
      </c>
      <c r="O36" s="31">
        <v>2</v>
      </c>
      <c r="P36" s="4" t="s">
        <v>39</v>
      </c>
      <c r="Q36" s="31">
        <v>1</v>
      </c>
      <c r="R36" s="81" t="str">
        <f t="shared" si="4"/>
        <v>0,2521</v>
      </c>
      <c r="S36" s="4">
        <v>3</v>
      </c>
    </row>
    <row r="37" spans="12:19" x14ac:dyDescent="0.35">
      <c r="L37" s="37" t="s">
        <v>44</v>
      </c>
      <c r="M37" s="31">
        <v>0.25</v>
      </c>
      <c r="N37" s="4" t="s">
        <v>37</v>
      </c>
      <c r="O37" s="31">
        <v>2</v>
      </c>
      <c r="P37" s="4" t="s">
        <v>38</v>
      </c>
      <c r="Q37" s="31">
        <v>2</v>
      </c>
      <c r="R37" s="81" t="str">
        <f t="shared" si="4"/>
        <v>0,2522</v>
      </c>
      <c r="S37" s="4">
        <v>3</v>
      </c>
    </row>
    <row r="38" spans="12:19" x14ac:dyDescent="0.35">
      <c r="L38" s="37" t="s">
        <v>44</v>
      </c>
      <c r="M38" s="31">
        <v>0.25</v>
      </c>
      <c r="N38" s="4" t="s">
        <v>37</v>
      </c>
      <c r="O38" s="31">
        <v>2</v>
      </c>
      <c r="P38" s="4" t="s">
        <v>40</v>
      </c>
      <c r="Q38" s="31">
        <v>3</v>
      </c>
      <c r="R38" s="81" t="str">
        <f t="shared" si="4"/>
        <v>0,2523</v>
      </c>
      <c r="S38" s="4">
        <v>3</v>
      </c>
    </row>
    <row r="39" spans="12:19" x14ac:dyDescent="0.35">
      <c r="L39" s="37" t="s">
        <v>44</v>
      </c>
      <c r="M39" s="31">
        <v>0.25</v>
      </c>
      <c r="N39" s="4" t="s">
        <v>36</v>
      </c>
      <c r="O39" s="31">
        <v>3</v>
      </c>
      <c r="P39" s="4" t="s">
        <v>38</v>
      </c>
      <c r="Q39" s="31">
        <v>2</v>
      </c>
      <c r="R39" s="81" t="str">
        <f t="shared" si="4"/>
        <v>0,2532</v>
      </c>
      <c r="S39" s="4">
        <v>3</v>
      </c>
    </row>
    <row r="40" spans="12:19" x14ac:dyDescent="0.35">
      <c r="L40" s="37" t="s">
        <v>44</v>
      </c>
      <c r="M40" s="31">
        <v>0.25</v>
      </c>
      <c r="N40" s="4" t="s">
        <v>36</v>
      </c>
      <c r="O40" s="31">
        <v>3</v>
      </c>
      <c r="P40" s="4" t="s">
        <v>40</v>
      </c>
      <c r="Q40" s="31">
        <v>3</v>
      </c>
      <c r="R40" s="81" t="str">
        <f t="shared" si="4"/>
        <v>0,2533</v>
      </c>
      <c r="S40" s="4">
        <v>3</v>
      </c>
    </row>
    <row r="41" spans="12:19" x14ac:dyDescent="0.35">
      <c r="L41" s="37" t="s">
        <v>44</v>
      </c>
      <c r="M41" s="31">
        <v>0.25</v>
      </c>
      <c r="N41" s="4" t="s">
        <v>35</v>
      </c>
      <c r="O41" s="31">
        <v>4</v>
      </c>
      <c r="P41" s="4" t="s">
        <v>38</v>
      </c>
      <c r="Q41" s="31">
        <v>2</v>
      </c>
      <c r="R41" s="81" t="str">
        <f t="shared" si="4"/>
        <v>0,2542</v>
      </c>
      <c r="S41" s="4">
        <v>3</v>
      </c>
    </row>
    <row r="42" spans="12:19" x14ac:dyDescent="0.35">
      <c r="L42" s="37" t="s">
        <v>37</v>
      </c>
      <c r="M42" s="31">
        <v>0.1</v>
      </c>
      <c r="N42" s="4" t="s">
        <v>100</v>
      </c>
      <c r="O42" s="80">
        <v>1</v>
      </c>
      <c r="P42" s="33" t="s">
        <v>100</v>
      </c>
      <c r="Q42" s="80">
        <v>0</v>
      </c>
      <c r="R42" s="81" t="str">
        <f t="shared" si="4"/>
        <v>0,110</v>
      </c>
      <c r="S42" s="4">
        <v>3</v>
      </c>
    </row>
    <row r="43" spans="12:19" x14ac:dyDescent="0.35">
      <c r="L43" s="37" t="s">
        <v>37</v>
      </c>
      <c r="M43" s="31">
        <v>0.1</v>
      </c>
      <c r="N43" s="4" t="s">
        <v>101</v>
      </c>
      <c r="O43" s="31">
        <v>0</v>
      </c>
      <c r="P43" s="4" t="s">
        <v>101</v>
      </c>
      <c r="Q43" s="31">
        <v>0</v>
      </c>
      <c r="R43" s="81" t="str">
        <f t="shared" si="4"/>
        <v>0,100</v>
      </c>
      <c r="S43" s="4">
        <v>3</v>
      </c>
    </row>
    <row r="44" spans="12:19" x14ac:dyDescent="0.35">
      <c r="L44" s="37" t="s">
        <v>37</v>
      </c>
      <c r="M44" s="31">
        <v>0.1</v>
      </c>
      <c r="N44" s="4" t="s">
        <v>37</v>
      </c>
      <c r="O44" s="31">
        <v>2</v>
      </c>
      <c r="P44" s="4" t="s">
        <v>39</v>
      </c>
      <c r="Q44" s="31">
        <v>1</v>
      </c>
      <c r="R44" s="81" t="str">
        <f t="shared" si="4"/>
        <v>0,121</v>
      </c>
      <c r="S44" s="4">
        <v>3</v>
      </c>
    </row>
    <row r="45" spans="12:19" x14ac:dyDescent="0.35">
      <c r="L45" s="37" t="s">
        <v>37</v>
      </c>
      <c r="M45" s="31">
        <v>0.1</v>
      </c>
      <c r="N45" s="4" t="s">
        <v>37</v>
      </c>
      <c r="O45" s="31">
        <v>2</v>
      </c>
      <c r="P45" s="4" t="s">
        <v>38</v>
      </c>
      <c r="Q45" s="31">
        <v>2</v>
      </c>
      <c r="R45" s="81" t="str">
        <f t="shared" si="4"/>
        <v>0,122</v>
      </c>
      <c r="S45" s="4">
        <v>3</v>
      </c>
    </row>
    <row r="46" spans="12:19" x14ac:dyDescent="0.35">
      <c r="L46" s="37" t="s">
        <v>37</v>
      </c>
      <c r="M46" s="31">
        <v>0.1</v>
      </c>
      <c r="N46" s="4" t="s">
        <v>37</v>
      </c>
      <c r="O46" s="31">
        <v>2</v>
      </c>
      <c r="P46" s="4" t="s">
        <v>40</v>
      </c>
      <c r="Q46" s="31">
        <v>3</v>
      </c>
      <c r="R46" s="81" t="str">
        <f t="shared" si="4"/>
        <v>0,123</v>
      </c>
      <c r="S46" s="4">
        <v>3</v>
      </c>
    </row>
    <row r="47" spans="12:19" x14ac:dyDescent="0.35">
      <c r="L47" s="37" t="s">
        <v>37</v>
      </c>
      <c r="M47" s="31">
        <v>0.1</v>
      </c>
      <c r="N47" s="4" t="s">
        <v>36</v>
      </c>
      <c r="O47" s="31">
        <v>3</v>
      </c>
      <c r="P47" s="4" t="s">
        <v>39</v>
      </c>
      <c r="Q47" s="31">
        <v>1</v>
      </c>
      <c r="R47" s="81" t="str">
        <f t="shared" si="4"/>
        <v>0,131</v>
      </c>
      <c r="S47" s="4">
        <v>3</v>
      </c>
    </row>
    <row r="48" spans="12:19" x14ac:dyDescent="0.35">
      <c r="L48" s="37" t="s">
        <v>37</v>
      </c>
      <c r="M48" s="31">
        <v>0.1</v>
      </c>
      <c r="N48" s="4" t="s">
        <v>36</v>
      </c>
      <c r="O48" s="31">
        <v>3</v>
      </c>
      <c r="P48" s="4" t="s">
        <v>38</v>
      </c>
      <c r="Q48" s="31">
        <v>2</v>
      </c>
      <c r="R48" s="81" t="str">
        <f t="shared" si="4"/>
        <v>0,132</v>
      </c>
      <c r="S48" s="4">
        <v>3</v>
      </c>
    </row>
    <row r="49" spans="12:19" x14ac:dyDescent="0.35">
      <c r="L49" s="37" t="s">
        <v>37</v>
      </c>
      <c r="M49" s="31">
        <v>0.1</v>
      </c>
      <c r="N49" s="4" t="s">
        <v>36</v>
      </c>
      <c r="O49" s="31">
        <v>3</v>
      </c>
      <c r="P49" s="4" t="s">
        <v>40</v>
      </c>
      <c r="Q49" s="31">
        <v>3</v>
      </c>
      <c r="R49" s="81" t="str">
        <f t="shared" si="4"/>
        <v>0,133</v>
      </c>
      <c r="S49" s="4">
        <v>3</v>
      </c>
    </row>
    <row r="50" spans="12:19" x14ac:dyDescent="0.35">
      <c r="L50" s="37" t="s">
        <v>37</v>
      </c>
      <c r="M50" s="31">
        <v>0.1</v>
      </c>
      <c r="N50" s="4" t="s">
        <v>35</v>
      </c>
      <c r="O50" s="31">
        <v>4</v>
      </c>
      <c r="P50" s="4" t="s">
        <v>38</v>
      </c>
      <c r="Q50" s="31">
        <v>2</v>
      </c>
      <c r="R50" s="81" t="str">
        <f t="shared" si="4"/>
        <v>0,142</v>
      </c>
      <c r="S50" s="4">
        <v>3</v>
      </c>
    </row>
    <row r="51" spans="12:19" x14ac:dyDescent="0.35">
      <c r="L51" s="37" t="s">
        <v>37</v>
      </c>
      <c r="M51" s="82">
        <v>0.1</v>
      </c>
      <c r="N51" s="83" t="s">
        <v>35</v>
      </c>
      <c r="O51" s="82">
        <v>4</v>
      </c>
      <c r="P51" s="83" t="s">
        <v>39</v>
      </c>
      <c r="Q51" s="82">
        <v>1</v>
      </c>
      <c r="R51" s="81" t="str">
        <f t="shared" si="4"/>
        <v>0,141</v>
      </c>
      <c r="S51" s="83">
        <v>3</v>
      </c>
    </row>
    <row r="52" spans="12:19" x14ac:dyDescent="0.35">
      <c r="L52" s="37" t="s">
        <v>35</v>
      </c>
      <c r="M52" s="31">
        <v>1</v>
      </c>
      <c r="N52" s="4" t="s">
        <v>35</v>
      </c>
      <c r="O52" s="31">
        <v>4</v>
      </c>
      <c r="P52" s="4" t="s">
        <v>40</v>
      </c>
      <c r="Q52" s="31">
        <v>3</v>
      </c>
      <c r="R52" s="84" t="str">
        <f t="shared" si="4"/>
        <v>143</v>
      </c>
      <c r="S52" s="85" t="s">
        <v>103</v>
      </c>
    </row>
    <row r="53" spans="12:19" x14ac:dyDescent="0.35">
      <c r="L53" s="37" t="s">
        <v>43</v>
      </c>
      <c r="M53" s="31">
        <v>0.75</v>
      </c>
      <c r="N53" s="4" t="s">
        <v>35</v>
      </c>
      <c r="O53" s="31">
        <v>4</v>
      </c>
      <c r="P53" s="4" t="s">
        <v>40</v>
      </c>
      <c r="Q53" s="31">
        <v>3</v>
      </c>
      <c r="R53" s="84" t="str">
        <f t="shared" si="4"/>
        <v>0,7543</v>
      </c>
      <c r="S53" s="85" t="s">
        <v>103</v>
      </c>
    </row>
    <row r="54" spans="12:19" x14ac:dyDescent="0.35">
      <c r="L54" s="37" t="s">
        <v>36</v>
      </c>
      <c r="M54" s="31">
        <v>0.5</v>
      </c>
      <c r="N54" s="4" t="s">
        <v>35</v>
      </c>
      <c r="O54" s="31">
        <v>4</v>
      </c>
      <c r="P54" s="4" t="s">
        <v>40</v>
      </c>
      <c r="Q54" s="31">
        <v>3</v>
      </c>
      <c r="R54" s="84" t="str">
        <f t="shared" si="4"/>
        <v>0,543</v>
      </c>
      <c r="S54" s="85" t="s">
        <v>103</v>
      </c>
    </row>
    <row r="55" spans="12:19" x14ac:dyDescent="0.35">
      <c r="L55" s="37" t="s">
        <v>44</v>
      </c>
      <c r="M55" s="31">
        <v>0.25</v>
      </c>
      <c r="N55" s="4" t="s">
        <v>35</v>
      </c>
      <c r="O55" s="31">
        <v>4</v>
      </c>
      <c r="P55" s="4" t="s">
        <v>40</v>
      </c>
      <c r="Q55" s="31">
        <v>3</v>
      </c>
      <c r="R55" s="84" t="str">
        <f t="shared" si="4"/>
        <v>0,2543</v>
      </c>
      <c r="S55" s="85" t="s">
        <v>103</v>
      </c>
    </row>
    <row r="56" spans="12:19" x14ac:dyDescent="0.35">
      <c r="L56" s="37" t="s">
        <v>37</v>
      </c>
      <c r="M56" s="31">
        <v>0.1</v>
      </c>
      <c r="N56" s="4" t="s">
        <v>35</v>
      </c>
      <c r="O56" s="31">
        <v>4</v>
      </c>
      <c r="P56" s="4" t="s">
        <v>40</v>
      </c>
      <c r="Q56" s="31">
        <v>3</v>
      </c>
      <c r="R56" s="84" t="str">
        <f t="shared" si="4"/>
        <v>0,143</v>
      </c>
      <c r="S56" s="85" t="s">
        <v>103</v>
      </c>
    </row>
    <row r="57" spans="12:19" x14ac:dyDescent="0.35">
      <c r="L57" s="37" t="s">
        <v>35</v>
      </c>
      <c r="M57" s="31">
        <v>1</v>
      </c>
      <c r="N57" s="87"/>
      <c r="O57" s="31"/>
      <c r="P57" s="87"/>
      <c r="Q57" s="31"/>
      <c r="R57" s="84" t="str">
        <f t="shared" si="4"/>
        <v>1</v>
      </c>
      <c r="S57" s="87" t="s">
        <v>110</v>
      </c>
    </row>
    <row r="58" spans="12:19" x14ac:dyDescent="0.35">
      <c r="L58" s="37" t="s">
        <v>43</v>
      </c>
      <c r="M58" s="31">
        <v>0.75</v>
      </c>
      <c r="N58" s="87"/>
      <c r="O58" s="31"/>
      <c r="P58" s="87"/>
      <c r="Q58" s="31"/>
      <c r="R58" s="84" t="str">
        <f t="shared" si="4"/>
        <v>0,75</v>
      </c>
      <c r="S58" s="87" t="s">
        <v>110</v>
      </c>
    </row>
    <row r="59" spans="12:19" x14ac:dyDescent="0.35">
      <c r="L59" s="37" t="s">
        <v>36</v>
      </c>
      <c r="M59" s="31">
        <v>0.5</v>
      </c>
      <c r="N59" s="87"/>
      <c r="O59" s="31"/>
      <c r="P59" s="87"/>
      <c r="Q59" s="31"/>
      <c r="R59" s="84" t="str">
        <f t="shared" si="4"/>
        <v>0,5</v>
      </c>
      <c r="S59" s="87" t="s">
        <v>110</v>
      </c>
    </row>
    <row r="60" spans="12:19" x14ac:dyDescent="0.35">
      <c r="L60" s="37" t="s">
        <v>44</v>
      </c>
      <c r="M60" s="31">
        <v>0.25</v>
      </c>
      <c r="N60" s="87"/>
      <c r="O60" s="31"/>
      <c r="P60" s="87"/>
      <c r="Q60" s="31"/>
      <c r="R60" s="84" t="str">
        <f t="shared" si="4"/>
        <v>0,25</v>
      </c>
      <c r="S60" s="87" t="s">
        <v>110</v>
      </c>
    </row>
    <row r="61" spans="12:19" x14ac:dyDescent="0.35">
      <c r="L61" s="37" t="s">
        <v>37</v>
      </c>
      <c r="M61" s="31">
        <v>0.1</v>
      </c>
      <c r="N61" s="87"/>
      <c r="O61" s="31"/>
      <c r="P61" s="87"/>
      <c r="Q61" s="31"/>
      <c r="R61" s="84" t="str">
        <f t="shared" si="4"/>
        <v>0,1</v>
      </c>
      <c r="S61" s="87" t="s">
        <v>110</v>
      </c>
    </row>
  </sheetData>
  <conditionalFormatting sqref="H2:H21">
    <cfRule type="expression" dxfId="2" priority="1">
      <formula>H2=3</formula>
    </cfRule>
    <cfRule type="expression" dxfId="1" priority="2">
      <formula>H2=2</formula>
    </cfRule>
    <cfRule type="expression" dxfId="0" priority="3">
      <formula>H2=1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8"/>
  <sheetViews>
    <sheetView workbookViewId="0">
      <selection activeCell="B6" sqref="B6"/>
    </sheetView>
  </sheetViews>
  <sheetFormatPr baseColWidth="10" defaultRowHeight="14.5" x14ac:dyDescent="0.35"/>
  <cols>
    <col min="1" max="1" width="35.81640625" customWidth="1"/>
    <col min="2" max="2" width="26.26953125" customWidth="1"/>
  </cols>
  <sheetData>
    <row r="1" spans="1:12" x14ac:dyDescent="0.35">
      <c r="A1" s="40" t="s">
        <v>133</v>
      </c>
      <c r="B1" s="40" t="s">
        <v>134</v>
      </c>
    </row>
    <row r="2" spans="1:12" x14ac:dyDescent="0.35">
      <c r="A2" s="41">
        <v>3</v>
      </c>
      <c r="B2" s="41">
        <v>4</v>
      </c>
      <c r="G2" s="85" t="s">
        <v>137</v>
      </c>
      <c r="H2" s="106">
        <v>3</v>
      </c>
      <c r="I2" s="106">
        <v>2</v>
      </c>
      <c r="J2" s="106">
        <v>1</v>
      </c>
      <c r="K2" s="106">
        <v>0</v>
      </c>
      <c r="L2" s="107"/>
    </row>
    <row r="3" spans="1:12" x14ac:dyDescent="0.35">
      <c r="A3" s="41">
        <v>2</v>
      </c>
      <c r="B3" s="41">
        <v>2</v>
      </c>
      <c r="G3" s="106">
        <v>3</v>
      </c>
      <c r="H3" s="106">
        <v>4</v>
      </c>
      <c r="I3" s="106">
        <v>4</v>
      </c>
      <c r="J3" s="106">
        <v>4</v>
      </c>
      <c r="K3" s="106">
        <v>1</v>
      </c>
      <c r="L3" s="107"/>
    </row>
    <row r="4" spans="1:12" x14ac:dyDescent="0.35">
      <c r="A4" s="41">
        <v>1</v>
      </c>
      <c r="B4" s="41">
        <v>2</v>
      </c>
      <c r="G4" s="106">
        <v>2</v>
      </c>
      <c r="H4" s="106">
        <v>3</v>
      </c>
      <c r="I4" s="106">
        <v>3</v>
      </c>
      <c r="J4" s="106">
        <v>3</v>
      </c>
      <c r="K4" s="106">
        <v>0</v>
      </c>
      <c r="L4" s="107"/>
    </row>
    <row r="5" spans="1:12" x14ac:dyDescent="0.35">
      <c r="A5" s="41">
        <v>0</v>
      </c>
      <c r="B5" s="41">
        <v>0</v>
      </c>
      <c r="G5" s="106">
        <v>1</v>
      </c>
      <c r="H5" s="106">
        <v>2</v>
      </c>
      <c r="I5" s="106">
        <v>2</v>
      </c>
      <c r="J5" s="106">
        <v>2</v>
      </c>
      <c r="K5" s="106"/>
      <c r="L5" s="107"/>
    </row>
    <row r="6" spans="1:12" x14ac:dyDescent="0.35">
      <c r="A6" s="41"/>
      <c r="B6" s="41"/>
      <c r="G6" s="106">
        <v>0</v>
      </c>
      <c r="H6" s="106"/>
      <c r="I6" s="106"/>
      <c r="J6" s="106"/>
      <c r="K6" s="106"/>
      <c r="L6" s="107"/>
    </row>
    <row r="7" spans="1:12" x14ac:dyDescent="0.35">
      <c r="A7" s="41"/>
      <c r="B7" s="41"/>
      <c r="G7" s="107"/>
      <c r="H7" s="107"/>
      <c r="I7" s="107"/>
      <c r="J7" s="107"/>
      <c r="K7" s="107"/>
      <c r="L7" s="107"/>
    </row>
    <row r="8" spans="1:12" x14ac:dyDescent="0.35">
      <c r="A8" s="41"/>
      <c r="B8" s="41"/>
    </row>
    <row r="9" spans="1:12" x14ac:dyDescent="0.35">
      <c r="A9" s="41"/>
      <c r="B9" s="41"/>
    </row>
    <row r="10" spans="1:12" x14ac:dyDescent="0.35">
      <c r="A10" s="41"/>
      <c r="B10" s="41"/>
    </row>
    <row r="11" spans="1:12" x14ac:dyDescent="0.35">
      <c r="A11" s="41"/>
      <c r="B11" s="41"/>
    </row>
    <row r="12" spans="1:12" x14ac:dyDescent="0.35">
      <c r="A12" s="41"/>
      <c r="B12" s="41"/>
      <c r="F12" t="e">
        <f>IF(AND(A2=""),A2,IF(AND(A2&lt;=3,A2&gt;=1),H3:H5,IF(AND(A2=0),K3:K4,"ERROR")))</f>
        <v>#VALUE!</v>
      </c>
    </row>
    <row r="13" spans="1:12" x14ac:dyDescent="0.35">
      <c r="A13" s="41"/>
      <c r="B13" s="41"/>
    </row>
    <row r="14" spans="1:12" x14ac:dyDescent="0.35">
      <c r="A14" s="41"/>
      <c r="B14" s="41"/>
    </row>
    <row r="15" spans="1:12" x14ac:dyDescent="0.35">
      <c r="A15" s="41"/>
      <c r="B15" s="41"/>
    </row>
    <row r="16" spans="1:12" x14ac:dyDescent="0.35">
      <c r="A16" s="41"/>
      <c r="B16" s="41"/>
    </row>
    <row r="17" spans="1:9" x14ac:dyDescent="0.35">
      <c r="A17" s="41"/>
      <c r="B17" s="41"/>
    </row>
    <row r="18" spans="1:9" x14ac:dyDescent="0.35">
      <c r="A18" s="41"/>
      <c r="B18" s="41"/>
    </row>
    <row r="19" spans="1:9" x14ac:dyDescent="0.35">
      <c r="A19" s="41"/>
      <c r="B19" s="41"/>
    </row>
    <row r="20" spans="1:9" x14ac:dyDescent="0.35">
      <c r="A20" s="41"/>
      <c r="B20" s="41"/>
    </row>
    <row r="21" spans="1:9" ht="15" thickBot="1" x14ac:dyDescent="0.4">
      <c r="A21" s="41"/>
      <c r="B21" s="41"/>
    </row>
    <row r="22" spans="1:9" x14ac:dyDescent="0.35">
      <c r="A22" s="25">
        <f>SUM(A2:A21)</f>
        <v>6</v>
      </c>
      <c r="B22" s="9">
        <f>SUMIF(B2:B21,"&gt;0")</f>
        <v>8</v>
      </c>
    </row>
    <row r="25" spans="1:9" x14ac:dyDescent="0.35">
      <c r="D25" s="8"/>
      <c r="E25" s="8"/>
      <c r="F25" s="8"/>
      <c r="G25" s="8"/>
      <c r="H25" s="8"/>
      <c r="I25" s="8"/>
    </row>
    <row r="26" spans="1:9" x14ac:dyDescent="0.35">
      <c r="D26" s="105"/>
      <c r="E26" s="105"/>
      <c r="F26" s="8"/>
      <c r="G26" s="8"/>
      <c r="H26" s="8"/>
      <c r="I26" s="8"/>
    </row>
    <row r="27" spans="1:9" x14ac:dyDescent="0.35">
      <c r="D27" s="105"/>
      <c r="E27" s="105"/>
      <c r="F27" s="8"/>
      <c r="G27" s="8"/>
      <c r="H27" s="8"/>
      <c r="I27" s="8"/>
    </row>
    <row r="28" spans="1:9" x14ac:dyDescent="0.35">
      <c r="D28" s="105"/>
      <c r="E28" s="105"/>
      <c r="F28" s="8"/>
      <c r="G28" s="8"/>
      <c r="H28" s="8"/>
      <c r="I28" s="8"/>
    </row>
    <row r="29" spans="1:9" x14ac:dyDescent="0.35">
      <c r="D29" s="105"/>
      <c r="E29" s="105"/>
      <c r="F29" s="8"/>
      <c r="G29" s="8"/>
      <c r="H29" s="8"/>
      <c r="I29" s="8"/>
    </row>
    <row r="30" spans="1:9" x14ac:dyDescent="0.35">
      <c r="D30" s="105"/>
      <c r="E30" s="105"/>
      <c r="F30" s="8"/>
      <c r="G30" s="8"/>
      <c r="H30" s="8"/>
      <c r="I30" s="8"/>
    </row>
    <row r="31" spans="1:9" x14ac:dyDescent="0.35">
      <c r="D31" s="105"/>
      <c r="E31" s="105"/>
      <c r="F31" s="8"/>
      <c r="G31" s="8"/>
      <c r="H31" s="8"/>
      <c r="I31" s="8"/>
    </row>
    <row r="32" spans="1:9" x14ac:dyDescent="0.35">
      <c r="D32" s="105"/>
      <c r="E32" s="105"/>
      <c r="F32" s="8"/>
      <c r="G32" s="8"/>
      <c r="H32" s="8"/>
      <c r="I32" s="8"/>
    </row>
    <row r="33" spans="4:9" x14ac:dyDescent="0.35">
      <c r="D33" s="105"/>
      <c r="E33" s="105"/>
      <c r="F33" s="8"/>
      <c r="G33" s="8"/>
      <c r="H33" s="8"/>
      <c r="I33" s="8"/>
    </row>
    <row r="34" spans="4:9" x14ac:dyDescent="0.35">
      <c r="D34" s="105"/>
      <c r="E34" s="105"/>
      <c r="F34" s="8"/>
      <c r="G34" s="8"/>
      <c r="H34" s="8"/>
      <c r="I34" s="8"/>
    </row>
    <row r="35" spans="4:9" x14ac:dyDescent="0.35">
      <c r="D35" s="105"/>
      <c r="E35" s="105"/>
      <c r="F35" s="8"/>
      <c r="G35" s="8"/>
      <c r="H35" s="8"/>
      <c r="I35" s="8"/>
    </row>
    <row r="36" spans="4:9" x14ac:dyDescent="0.35">
      <c r="D36" s="105"/>
      <c r="E36" s="105"/>
      <c r="F36" s="8"/>
      <c r="G36" s="8"/>
      <c r="H36" s="8"/>
      <c r="I36" s="8"/>
    </row>
    <row r="37" spans="4:9" x14ac:dyDescent="0.35">
      <c r="D37" s="105"/>
      <c r="E37" s="105"/>
      <c r="F37" s="8"/>
      <c r="G37" s="8"/>
      <c r="H37" s="8"/>
      <c r="I37" s="8"/>
    </row>
    <row r="38" spans="4:9" x14ac:dyDescent="0.35">
      <c r="D38" s="105"/>
      <c r="E38" s="105"/>
      <c r="F38" s="8"/>
      <c r="G38" s="8"/>
      <c r="H38" s="8"/>
      <c r="I38" s="8"/>
    </row>
  </sheetData>
  <dataValidations count="2">
    <dataValidation type="list" showInputMessage="1" showErrorMessage="1" sqref="A2:A21" xr:uid="{00000000-0002-0000-0400-000000000000}">
      <formula1>$G$3:$G$7</formula1>
    </dataValidation>
    <dataValidation type="list" showInputMessage="1" showErrorMessage="1" sqref="B2:B21" xr:uid="{00000000-0002-0000-0400-000001000000}">
      <formula1>IF(AND(A2=""),A2,IF(AND(A2&lt;=3,A2&gt;=1),$H$3:$H$5,IF(AND(A2=0),$K$3:$K$4,"ERROR")))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(1) CARGA DE DATOS</vt:lpstr>
      <vt:lpstr>(2) INDICADORES SLG</vt:lpstr>
      <vt:lpstr>(3) PRIORIDADES</vt:lpstr>
      <vt:lpstr>Hoja de calculos prioridades</vt:lpstr>
      <vt:lpstr>RELACIONES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D'Angelo</dc:creator>
  <cp:lastModifiedBy>Susana Grosso</cp:lastModifiedBy>
  <dcterms:created xsi:type="dcterms:W3CDTF">2017-07-11T12:14:33Z</dcterms:created>
  <dcterms:modified xsi:type="dcterms:W3CDTF">2020-10-23T13:37:56Z</dcterms:modified>
</cp:coreProperties>
</file>