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0" yWindow="330" windowWidth="6435" windowHeight="4560" tabRatio="913" activeTab="0"/>
  </bookViews>
  <sheets>
    <sheet name="Presentación" sheetId="1" r:id="rId1"/>
    <sheet name="Información General" sheetId="2" r:id="rId2"/>
    <sheet name="II. Datos  Ganaderos" sheetId="3" r:id="rId3"/>
    <sheet name="III. Datos Agrícolas" sheetId="4" r:id="rId4"/>
    <sheet name="IV. Resultados" sheetId="5" r:id="rId5"/>
    <sheet name="V. Indicadores" sheetId="6" r:id="rId6"/>
    <sheet name="VII. Impresión" sheetId="7" r:id="rId7"/>
    <sheet name="VI.Encuesta" sheetId="8" r:id="rId8"/>
  </sheets>
  <definedNames>
    <definedName name="_1.a___EXISTENCIA_DE_GANADO">'VII. Impresión'!$A$3:$F$55</definedName>
    <definedName name="_2.2____USO_DEL_SUELO_y_BALANCE_FORRAJERO_INVERNADA">'VII. Impresión'!$M$60:$Q$110</definedName>
    <definedName name="_2___USO_DEL_SUELO_y_BALANCE_FORRAJERO">'VII. Impresión'!$M$1:$Q$56</definedName>
    <definedName name="_3.2___GASTOS_DIRECTOS_INVERNADA">'VII. Impresión'!$S$1:$X$34</definedName>
    <definedName name="_3.3___GASTOS_DIRECTOS_AGRÍCOLAS">'VII. Impresión'!$Z$82:$AH$134</definedName>
    <definedName name="_3___GASTOS_DIRECTOS_GANADEROS_y_AGRÍCOLAS">'VII. Impresión'!$Z$1:$AE$112</definedName>
    <definedName name="_4_._GASTOS_DE_ESTRUCTURA">'VII. Impresión'!$AG$1:$AI$27</definedName>
    <definedName name="_5___RESULTADOS_ECONOMICOS">'VII. Impresión'!$AK$1:$AO$72</definedName>
    <definedName name="_6___RECURSOS_DE_LA_ORGANIZACIÓN">'VII. Impresión'!$AR$1:$AU$55</definedName>
    <definedName name="_8.1___INDICADORES_DE_EFICIENCIA">'VII. Impresión'!$AX$1:$AZ$68</definedName>
    <definedName name="_8.2___Indicadores_de_la_Tecnología_Productiva">'VII. Impresión'!$BC$1:$BE$83</definedName>
    <definedName name="_8.3___Indicadores_de_la_Productividad">'VII. Impresión'!$BH$1:$BJ$35</definedName>
    <definedName name="_Regression_Int" localSheetId="2" hidden="1">1</definedName>
    <definedName name="AGRICULTURA">'VI.Encuesta'!$BB$2:$BH$54</definedName>
    <definedName name="ANEXO_Cuadro_N__1__Costo_de_implantación_de_pasturas_y_verdeos_Tambo">'VI.Encuesta'!$BO$1:$BU$57</definedName>
    <definedName name="ANEXO_Cuadro_N__2__Costo_de_implantación_de_pasturas_y_verdeos_Invernada">'VI.Encuesta'!$BW$1:$CC$57</definedName>
    <definedName name="ANEXOS">'VI.Encuesta'!$BK$17</definedName>
    <definedName name="_xlnm.Print_Area" localSheetId="2">'II. Datos  Ganaderos'!$AL$1:$AS$60</definedName>
    <definedName name="_xlnm.Print_Area" localSheetId="3">'III. Datos Agrícolas'!$F$1:$I$91</definedName>
    <definedName name="_xlnm.Print_Area" localSheetId="1">'Información General'!$AJ$1:$AP$27</definedName>
    <definedName name="_xlnm.Print_Area" localSheetId="4">'IV. Resultados'!$G$6:$P$56</definedName>
    <definedName name="_xlnm.Print_Area" localSheetId="5">'V. Indicadores'!$T$66:$W$121</definedName>
    <definedName name="_xlnm.Print_Area" localSheetId="7">'VI.Encuesta'!$AN$1:$AS$46</definedName>
    <definedName name="_xlnm.Print_Area" localSheetId="6">'VII. Impresión'!$BF$1:$BH$26</definedName>
    <definedName name="COMPRAS_Y_VENTAS_DE_GANADO">'VI.Encuesta'!$AR$1:$AY$38</definedName>
    <definedName name="CUADRO_Nº2__Maquinarias">'VI.Encuesta'!$F$1:$I$50</definedName>
    <definedName name="CUADRO_Nº4_GASTOS_DE_ESTRUCTURA">'VI.Encuesta'!$R$1:$T$43</definedName>
    <definedName name="CULTIVOS_FORRAJEROS___INVERNADA">'VI.Encuesta'!$AD$35:$AH$67</definedName>
    <definedName name="CULTIVOS_FORRAJEROS___TAMBO_E_INVERNADA">'VI.Encuesta'!$AD$1:$AH$33</definedName>
    <definedName name="DATOS_GENERALES_y_mejoras">'VI.Encuesta'!$A$1:$D$64</definedName>
    <definedName name="dk">'VII. Impresión'!$V$30</definedName>
    <definedName name="GASTOS_DE_ESTRUCTURA">'VI.Encuesta'!$R$1:$T$43</definedName>
    <definedName name="I._2___CAPITAL_FIJO_DE_LA_EMPRESA___Tierras_y_Mejoras">'Información General'!$L$1:$T$40</definedName>
    <definedName name="I._3___CAPITAL_FIJO_DE_LA_EMPRESA___Maquinarias_y_Equipos">'Información General'!$W$1:$AG$61</definedName>
    <definedName name="I._4___GASTOS_DE_ESTRUCTURA">'Información General'!$AJ$1:$AP$26</definedName>
    <definedName name="I._4___GASTOS_DE_ESTRUCTURA___RETRIBUCIÓN_AL_EMPRESARIO___INGRESOS_Y_EGRESOS_EXTRAPREDIALES">'Información General'!$AJ$1:$AP$26</definedName>
    <definedName name="I.1___DATOS_de_la_EMPRESA">'Información General'!$A$1:$H$30</definedName>
    <definedName name="II._1___INFORMACION_GENERAL_y__TECNOLOGIA_APLICADA_TAMBO">'II. Datos  Ganaderos'!$B$1:$F$32</definedName>
    <definedName name="II._5____COMPRAS_Y_VENTAS_DE_GANADO">'II. Datos  Ganaderos'!$Z$1:$AG$4</definedName>
    <definedName name="II.2___INFORMACION_GENERAL___TECNOLOGIA_APLICADA_INVERNADA">'II. Datos  Ganaderos'!$B$36:$F$53</definedName>
    <definedName name="II.3____USO_DEL_SUELO">'II. Datos  Ganaderos'!$Q$1:$U$55</definedName>
    <definedName name="II.4_____USO_DEL_SUELO_y_BALANCE_FORRAJERO_INVERNADA">'II. Datos  Ganaderos'!$Q$59:$U$109</definedName>
    <definedName name="II.4___EXISTENCIA_GANADERA">'II. Datos  Ganaderos'!$AL$1:$AS$59</definedName>
    <definedName name="II.6___GASTOS_DIRECTOS_GANADEROS">'II. Datos  Ganaderos'!$Z$55:$AF$109</definedName>
    <definedName name="III._4___CULTIVO_4">'III. Datos Agrícolas'!$P$1:$S$103</definedName>
    <definedName name="III._5___CULTIVO_5">'III. Datos Agrícolas'!$U$1:$X$102</definedName>
    <definedName name="III._8___CULTIVO_8">'III. Datos Agrícolas'!$AL$1:$AO$104</definedName>
    <definedName name="III._9___CULTIVO_9">'III. Datos Agrícolas'!$AQ$1:$AU$103</definedName>
    <definedName name="III.1___CULTIVO_1">'III. Datos Agrícolas'!$A$1:$D$102</definedName>
    <definedName name="III.2___CULTIVO_2">'III. Datos Agrícolas'!$F$1:$I$102</definedName>
    <definedName name="III.3___CULTIVO_3">'III. Datos Agrícolas'!$K$1:$N$102</definedName>
    <definedName name="III.6___CULTIVO_6">'III. Datos Agrícolas'!$AB$1:$AE$103</definedName>
    <definedName name="III.7___CULTIVO_7">'III. Datos Agrícolas'!$AG$1:$AJ$103</definedName>
    <definedName name="INFORMACION_GENERAL___TECNOLOGIA_APLICADA">'VI.Encuesta'!$V$1:$Z$69</definedName>
    <definedName name="IV._RESULTADOS_ECONÓMICOS">'IV. Resultados'!$A$1:$E$89</definedName>
    <definedName name="IV.1____RESULTADOS_ECONÓMICOS_DE_LAS_ACTIVIDADES">'IV. Resultados'!$A$1:$F$30</definedName>
    <definedName name="IV.2____RESULTADO_ECONÓMICO__DE_LA_EMPRESA">'IV. Resultados'!$I$1:$O$45</definedName>
    <definedName name="MAQUINARIAS_MANO_OBRA">'VI.Encuesta'!$K$1:$P$51</definedName>
    <definedName name="MAQUINARIAS1">'VI.Encuesta'!$F$1:$I$53</definedName>
    <definedName name="Recomendaciones_para_imprimir">'VI.Encuesta'!$CE$1:$CL$29</definedName>
    <definedName name="SUPLEMENTACIÓN">'VI.Encuesta'!$AK$1:$AP$87</definedName>
    <definedName name="V._31___Indicadores_de_Eficiencia">'V. Indicadores'!$L$42:$O$70</definedName>
    <definedName name="V._33___Indicadores_de_Eficiencia">'V. Indicadores'!$Z$1:$AC$35</definedName>
    <definedName name="V.1_Recursos_de_la_Organizacion">'V. Indicadores'!$B$1:$E$38</definedName>
    <definedName name="V.2___Indicadores_Globales">'V. Indicadores'!$L$1:$O$70</definedName>
    <definedName name="V.32____Indicadores_de_Eficiencia">'V. Indicadores'!$T$1:$W$115</definedName>
  </definedNames>
  <calcPr fullCalcOnLoad="1"/>
</workbook>
</file>

<file path=xl/comments2.xml><?xml version="1.0" encoding="utf-8"?>
<comments xmlns="http://schemas.openxmlformats.org/spreadsheetml/2006/main">
  <authors>
    <author>Un usuario de Microsoft Office satisfecho</author>
  </authors>
  <commentList>
    <comment ref="R3" authorId="0">
      <text>
        <r>
          <rPr>
            <sz val="8"/>
            <rFont val="Tahoma"/>
            <family val="2"/>
          </rPr>
          <t>Las inversiones realizadas se incorporan con signo (+), las bajas del inventario inicial con signo (-).</t>
        </r>
      </text>
    </comment>
    <comment ref="AE4" authorId="0">
      <text>
        <r>
          <rPr>
            <sz val="8"/>
            <rFont val="Tahoma"/>
            <family val="2"/>
          </rPr>
          <t>Las inversiones realizadas se incorporan con signo (+), las bajas del inventario inicial con signo (-).</t>
        </r>
      </text>
    </comment>
    <comment ref="AO4" authorId="0">
      <text>
        <r>
          <rPr>
            <sz val="8"/>
            <rFont val="Tahoma"/>
            <family val="2"/>
          </rPr>
          <t>Los ingresos o saldos positivos deben cargarse con signo positivo y los egresos con signo negativo
Cabe destacar que lo que se ingresa en caso de actividades que se realizan fuera del predio (ej. pastaje) es su resultado (Margen Bruto por año).</t>
        </r>
      </text>
    </comment>
    <comment ref="X11" authorId="0">
      <text>
        <r>
          <rPr>
            <sz val="8"/>
            <rFont val="Tahoma"/>
            <family val="2"/>
          </rPr>
          <t>Calcule la suma de HP de todos los tractores y máquinas automotrices del establecimiento</t>
        </r>
      </text>
    </comment>
    <comment ref="AE15" authorId="0">
      <text>
        <r>
          <rPr>
            <sz val="8"/>
            <rFont val="Tahoma"/>
            <family val="2"/>
          </rPr>
          <t>Las inversiones realizadas se incorporan con signo (+), las bajas del inventario inicial con signo (-).</t>
        </r>
      </text>
    </comment>
  </commentList>
</comments>
</file>

<file path=xl/comments3.xml><?xml version="1.0" encoding="utf-8"?>
<comments xmlns="http://schemas.openxmlformats.org/spreadsheetml/2006/main">
  <authors>
    <author>Un usuario de Microsoft Office satisfecho</author>
  </authors>
  <commentList>
    <comment ref="AP6" authorId="0">
      <text>
        <r>
          <rPr>
            <sz val="8"/>
            <rFont val="Tahoma"/>
            <family val="2"/>
          </rPr>
          <t xml:space="preserve">Aplicar el valor en Pesos/cabeza
</t>
        </r>
      </text>
    </comment>
    <comment ref="AS6" authorId="0">
      <text>
        <r>
          <rPr>
            <sz val="8"/>
            <rFont val="Tahoma"/>
            <family val="2"/>
          </rPr>
          <t xml:space="preserve">Aplicar el valor en Pesos/cabeza
</t>
        </r>
      </text>
    </comment>
    <comment ref="AP7" authorId="0">
      <text>
        <r>
          <rPr>
            <sz val="8"/>
            <rFont val="Tahoma"/>
            <family val="2"/>
          </rPr>
          <t xml:space="preserve">Aplicar el valor en Pesos/cabeza
</t>
        </r>
      </text>
    </comment>
    <comment ref="AS7" authorId="0">
      <text>
        <r>
          <rPr>
            <sz val="8"/>
            <rFont val="Tahoma"/>
            <family val="2"/>
          </rPr>
          <t xml:space="preserve">Aplicar el valor en Pesos/cabeza
</t>
        </r>
      </text>
    </comment>
    <comment ref="AP8" authorId="0">
      <text>
        <r>
          <rPr>
            <sz val="8"/>
            <rFont val="Tahoma"/>
            <family val="2"/>
          </rPr>
          <t xml:space="preserve">Aplicar el valor en Pesos/cabeza
</t>
        </r>
      </text>
    </comment>
    <comment ref="AS8" authorId="0">
      <text>
        <r>
          <rPr>
            <sz val="8"/>
            <rFont val="Tahoma"/>
            <family val="2"/>
          </rPr>
          <t xml:space="preserve">Aplicar el valor en Pesos/cabeza
</t>
        </r>
      </text>
    </comment>
    <comment ref="AP9" authorId="0">
      <text>
        <r>
          <rPr>
            <sz val="8"/>
            <rFont val="Tahoma"/>
            <family val="2"/>
          </rPr>
          <t xml:space="preserve">Aplicar el valor en Pesos/kg
</t>
        </r>
      </text>
    </comment>
    <comment ref="AP10" authorId="0">
      <text>
        <r>
          <rPr>
            <sz val="8"/>
            <rFont val="Tahoma"/>
            <family val="2"/>
          </rPr>
          <t xml:space="preserve">Aplicar el valor en Pesos/kg
</t>
        </r>
      </text>
    </comment>
    <comment ref="AS10" authorId="0">
      <text>
        <r>
          <rPr>
            <sz val="8"/>
            <rFont val="Tahoma"/>
            <family val="2"/>
          </rPr>
          <t xml:space="preserve">Aplicar el valor en Pesos/kg
</t>
        </r>
      </text>
    </comment>
    <comment ref="AP11" authorId="0">
      <text>
        <r>
          <rPr>
            <sz val="8"/>
            <rFont val="Tahoma"/>
            <family val="2"/>
          </rPr>
          <t xml:space="preserve">Aplicar el valor en Pesos/kg
</t>
        </r>
      </text>
    </comment>
    <comment ref="AS11" authorId="0">
      <text>
        <r>
          <rPr>
            <sz val="8"/>
            <rFont val="Tahoma"/>
            <family val="2"/>
          </rPr>
          <t xml:space="preserve">Aplicar el valor en Pesos/kg
</t>
        </r>
      </text>
    </comment>
    <comment ref="AP12" authorId="0">
      <text>
        <r>
          <rPr>
            <sz val="8"/>
            <rFont val="Tahoma"/>
            <family val="2"/>
          </rPr>
          <t xml:space="preserve">Aplicar el valor en Pesos/kg
</t>
        </r>
      </text>
    </comment>
    <comment ref="AS12" authorId="0">
      <text>
        <r>
          <rPr>
            <sz val="8"/>
            <rFont val="Tahoma"/>
            <family val="2"/>
          </rPr>
          <t xml:space="preserve">Aplicar el valor en Pesos/kg
</t>
        </r>
      </text>
    </comment>
    <comment ref="AP13" authorId="0">
      <text>
        <r>
          <rPr>
            <sz val="8"/>
            <rFont val="Tahoma"/>
            <family val="2"/>
          </rPr>
          <t xml:space="preserve">Aplicar el valor en Pesos/cabeza
</t>
        </r>
      </text>
    </comment>
    <comment ref="AS13" authorId="0">
      <text>
        <r>
          <rPr>
            <sz val="8"/>
            <rFont val="Tahoma"/>
            <family val="2"/>
          </rPr>
          <t xml:space="preserve">Aplicar el valor en Pesos/cabeza
</t>
        </r>
      </text>
    </comment>
    <comment ref="AP14" authorId="0">
      <text>
        <r>
          <rPr>
            <sz val="8"/>
            <rFont val="Tahoma"/>
            <family val="2"/>
          </rPr>
          <t xml:space="preserve">Aplicar el valor en Pesos/cabeza
</t>
        </r>
      </text>
    </comment>
    <comment ref="AS14" authorId="0">
      <text>
        <r>
          <rPr>
            <sz val="8"/>
            <rFont val="Tahoma"/>
            <family val="2"/>
          </rPr>
          <t xml:space="preserve">Aplicar el valor en Pesos/cabeza
</t>
        </r>
      </text>
    </comment>
    <comment ref="AP22" authorId="0">
      <text>
        <r>
          <rPr>
            <sz val="8"/>
            <rFont val="Tahoma"/>
            <family val="2"/>
          </rPr>
          <t xml:space="preserve">Aplicar el valor en Pesos/cabeza
</t>
        </r>
      </text>
    </comment>
    <comment ref="AS22" authorId="0">
      <text>
        <r>
          <rPr>
            <sz val="8"/>
            <rFont val="Tahoma"/>
            <family val="2"/>
          </rPr>
          <t xml:space="preserve">Aplicar el valor en Pesos/cabeza
</t>
        </r>
      </text>
    </comment>
    <comment ref="T38" authorId="0">
      <text>
        <r>
          <rPr>
            <sz val="8"/>
            <rFont val="Tahoma"/>
            <family val="2"/>
          </rPr>
          <t xml:space="preserve">Unidades
</t>
        </r>
      </text>
    </comment>
    <comment ref="U38" authorId="0">
      <text>
        <r>
          <rPr>
            <sz val="8"/>
            <rFont val="Tahoma"/>
            <family val="2"/>
          </rPr>
          <t xml:space="preserve">mcal /kg MS
</t>
        </r>
      </text>
    </comment>
    <comment ref="T39" authorId="0">
      <text>
        <r>
          <rPr>
            <sz val="8"/>
            <rFont val="Tahoma"/>
            <family val="2"/>
          </rPr>
          <t xml:space="preserve">kg de MS </t>
        </r>
      </text>
    </comment>
    <comment ref="U39" authorId="0">
      <text>
        <r>
          <rPr>
            <sz val="8"/>
            <rFont val="Tahoma"/>
            <family val="2"/>
          </rPr>
          <t xml:space="preserve">mcal /kg MS
</t>
        </r>
      </text>
    </comment>
    <comment ref="AD68" authorId="0">
      <text>
        <r>
          <rPr>
            <sz val="11"/>
            <rFont val="Tahoma"/>
            <family val="2"/>
          </rPr>
          <t>En situación de análisis cargar la superficie real implantada pero cuando estamos en planeamiento cargar lo que corresponde como cuota amortizable</t>
        </r>
      </text>
    </comment>
    <comment ref="AF68" authorId="0">
      <text>
        <r>
          <rPr>
            <sz val="10"/>
            <rFont val="Tahoma"/>
            <family val="2"/>
          </rPr>
          <t>En situación de análisis cargar la superficie real implantada pero cuando estamos en planeamiento cargar lo que corresponde como cuota amortizable</t>
        </r>
      </text>
    </comment>
    <comment ref="AD69" authorId="0">
      <text>
        <r>
          <rPr>
            <sz val="8"/>
            <rFont val="Tahoma"/>
            <family val="2"/>
          </rPr>
          <t>En situación de análisis cargar la superficie real implantada pero cuando estamos en planeamiento cargar lo que corresponde como cuota amortizable</t>
        </r>
      </text>
    </comment>
    <comment ref="AF69" authorId="0">
      <text>
        <r>
          <rPr>
            <sz val="8"/>
            <rFont val="Tahoma"/>
            <family val="2"/>
          </rPr>
          <t>En situación de análisis cargar la superficie real implantada pero cuando estamos en planeamiento cargar lo que corresponde como cuota amortizable</t>
        </r>
      </text>
    </comment>
    <comment ref="AC89" authorId="0">
      <text>
        <r>
          <rPr>
            <sz val="8"/>
            <rFont val="Tahoma"/>
            <family val="2"/>
          </rPr>
          <t xml:space="preserve">LECHE VALUADA AL 33 %
</t>
        </r>
      </text>
    </comment>
    <comment ref="T93" authorId="0">
      <text>
        <r>
          <rPr>
            <sz val="8"/>
            <rFont val="Tahoma"/>
            <family val="2"/>
          </rPr>
          <t xml:space="preserve">Unidades
</t>
        </r>
      </text>
    </comment>
    <comment ref="U93" authorId="0">
      <text>
        <r>
          <rPr>
            <sz val="8"/>
            <rFont val="Tahoma"/>
            <family val="2"/>
          </rPr>
          <t>mcal TOTALES</t>
        </r>
      </text>
    </comment>
    <comment ref="T94" authorId="0">
      <text>
        <r>
          <rPr>
            <sz val="8"/>
            <rFont val="Tahoma"/>
            <family val="2"/>
          </rPr>
          <t xml:space="preserve">kg de MS </t>
        </r>
      </text>
    </comment>
    <comment ref="U94" authorId="0">
      <text>
        <r>
          <rPr>
            <sz val="8"/>
            <rFont val="Tahoma"/>
            <family val="2"/>
          </rPr>
          <t xml:space="preserve">mcal TOTALES
</t>
        </r>
      </text>
    </comment>
    <comment ref="AC113" authorId="0">
      <text>
        <r>
          <rPr>
            <sz val="8"/>
            <rFont val="Tahoma"/>
            <family val="2"/>
          </rPr>
          <t xml:space="preserve">En esta celda deberá cargarse EL GASTO DE COMERCIALIZACIÓN  Y TRANSPORTE (expresado como  porcentaje sobre el  total de compras y ventas ($)de hacienda. </t>
        </r>
      </text>
    </comment>
    <comment ref="AD113" authorId="0">
      <text>
        <r>
          <rPr>
            <sz val="8"/>
            <rFont val="Tahoma"/>
            <family val="2"/>
          </rPr>
          <t xml:space="preserve">En esta celda deberá cargarse el porcentaje sobre el  total de compras y ventas ($) que demandan gastos de comercialización y transporte.
No deberán considerarse las cesiones internas entre actividades,  en las cuales no se generan  dichos gastos. </t>
        </r>
      </text>
    </comment>
    <comment ref="AC114" authorId="0">
      <text>
        <r>
          <rPr>
            <sz val="8"/>
            <rFont val="Tahoma"/>
            <family val="2"/>
          </rPr>
          <t xml:space="preserve">En esta celda deberá cargarse EL GASTO DE COMERCIALIZACIÓN  Y TRANSPORTE (expresado como  porcentaje sobre el  total de compras y ventas ($)de hacienda. </t>
        </r>
      </text>
    </comment>
    <comment ref="AF114" authorId="0">
      <text>
        <r>
          <rPr>
            <sz val="8"/>
            <rFont val="Tahoma"/>
            <family val="2"/>
          </rPr>
          <t xml:space="preserve">En esta celda deberá cargarse el porcentaje sobre el  total de compras y ventas ($) que demandan gastos de comercialización y transporte.
No deberán considerarse las cesiones internas entre actividades,  en las cuales no se generan  dichos gastos. </t>
        </r>
      </text>
    </comment>
    <comment ref="AS9" authorId="0">
      <text>
        <r>
          <rPr>
            <sz val="8"/>
            <rFont val="Tahoma"/>
            <family val="2"/>
          </rPr>
          <t xml:space="preserve">Aplicar el valor en Pesos/kg
</t>
        </r>
      </text>
    </comment>
  </commentList>
</comments>
</file>

<file path=xl/comments4.xml><?xml version="1.0" encoding="utf-8"?>
<comments xmlns="http://schemas.openxmlformats.org/spreadsheetml/2006/main">
  <authors>
    <author>Un usuario de Microsoft Office satisfecho</author>
  </authors>
  <commentList>
    <comment ref="C9" authorId="0">
      <text>
        <r>
          <rPr>
            <sz val="8"/>
            <rFont val="Tahoma"/>
            <family val="2"/>
          </rPr>
          <t>En este caso en que se analiza la empresa en su conjunto, el valor de UTA propia  no debe contener interés ni amortizaciones.</t>
        </r>
      </text>
    </comment>
    <comment ref="H9" authorId="0">
      <text>
        <r>
          <rPr>
            <sz val="8"/>
            <rFont val="Tahoma"/>
            <family val="2"/>
          </rPr>
          <t>En este caso en que se analiza la empresa en su conjunto, el valor de UTA propia  no debe contener interés ni amortizaciones.</t>
        </r>
      </text>
    </comment>
    <comment ref="M9" authorId="0">
      <text>
        <r>
          <rPr>
            <sz val="8"/>
            <rFont val="Tahoma"/>
            <family val="2"/>
          </rPr>
          <t>En este caso en que se analiza la empresa en su conjunto, el valor de UTA propia  no debe contener interés ni amortizaciones.</t>
        </r>
      </text>
    </comment>
    <comment ref="R9" authorId="0">
      <text>
        <r>
          <rPr>
            <sz val="8"/>
            <rFont val="Tahoma"/>
            <family val="2"/>
          </rPr>
          <t>En este caso en que se analiza la empresa en su conjunto, el valor de UTA propia  no debe contener interés ni amortizaciones.</t>
        </r>
      </text>
    </comment>
    <comment ref="W9" authorId="0">
      <text>
        <r>
          <rPr>
            <sz val="8"/>
            <rFont val="Tahoma"/>
            <family val="2"/>
          </rPr>
          <t>En este caso en que se analiza la empresa en su conjunto, el valor de UTA propia  no debe contener interés ni amortizaciones.</t>
        </r>
      </text>
    </comment>
    <comment ref="AD9" authorId="0">
      <text>
        <r>
          <rPr>
            <sz val="8"/>
            <rFont val="Tahoma"/>
            <family val="2"/>
          </rPr>
          <t>En este caso en que se analiza la empresa en su conjunto, el valor de UTA propia  no debe contener interés ni amortizaciones.</t>
        </r>
      </text>
    </comment>
    <comment ref="AI9" authorId="0">
      <text>
        <r>
          <rPr>
            <sz val="8"/>
            <rFont val="Tahoma"/>
            <family val="2"/>
          </rPr>
          <t>En este caso en que se analiza la empresa en su conjunto, el valor de UTA propia  no debe contener interés ni amortizaciones.</t>
        </r>
      </text>
    </comment>
    <comment ref="AN9" authorId="0">
      <text>
        <r>
          <rPr>
            <sz val="8"/>
            <rFont val="Tahoma"/>
            <family val="2"/>
          </rPr>
          <t>En este caso en que se analiza la empresa en su conjunto, el valor de UTA propia  no debe contener interés ni amortizaciones.</t>
        </r>
      </text>
    </comment>
    <comment ref="AS9" authorId="0">
      <text>
        <r>
          <rPr>
            <sz val="8"/>
            <rFont val="Tahoma"/>
            <family val="2"/>
          </rPr>
          <t>En este caso en que se analiza la empresa en su conjunto, el valor de UTA propia  no debe contener interés ni amortizaciones.</t>
        </r>
      </text>
    </comment>
  </commentList>
</comments>
</file>

<file path=xl/sharedStrings.xml><?xml version="1.0" encoding="utf-8"?>
<sst xmlns="http://schemas.openxmlformats.org/spreadsheetml/2006/main" count="2950" uniqueCount="1269">
  <si>
    <t xml:space="preserve"> I.1 - DATOS de la EMPRESA</t>
  </si>
  <si>
    <r>
      <t>I.</t>
    </r>
    <r>
      <rPr>
        <b/>
        <sz val="10"/>
        <rFont val="Arial"/>
        <family val="2"/>
      </rPr>
      <t xml:space="preserve"> 2 - CAPITAL FIJO DE LA EMPRESA  (Tierras y Mejoras)</t>
    </r>
  </si>
  <si>
    <r>
      <t>I.</t>
    </r>
    <r>
      <rPr>
        <b/>
        <sz val="10"/>
        <rFont val="Arial"/>
        <family val="2"/>
      </rPr>
      <t xml:space="preserve"> 3 - CAPITAL FIJO DE LA EMPRESA  (Maquinarias y Equipos)</t>
    </r>
  </si>
  <si>
    <r>
      <t>I.</t>
    </r>
    <r>
      <rPr>
        <b/>
        <sz val="10"/>
        <rFont val="Arial"/>
        <family val="2"/>
      </rPr>
      <t xml:space="preserve"> 4 - GASTOS DE ESTRUCTURA - RETRIBUCIÓN AL EMPRESARIO - INGRESOS Y EGRESOS EXTRAPREDIALES</t>
    </r>
  </si>
  <si>
    <t>Período de análisis</t>
  </si>
  <si>
    <t>Cuando la herramienta es obsoleta cargar sólo las columnas de: Cant, Edad y VA p/obs. En VA p/ obs cargar el precio de la</t>
  </si>
  <si>
    <t>Total Anual</t>
  </si>
  <si>
    <t>$/año</t>
  </si>
  <si>
    <t>Nombre de la Empresa:</t>
  </si>
  <si>
    <t>MES 1</t>
  </si>
  <si>
    <t>INCORPORACIONES</t>
  </si>
  <si>
    <t>la misma en el mercado de usados.</t>
  </si>
  <si>
    <t>* Mantenimiento mejoras</t>
  </si>
  <si>
    <t>($)</t>
  </si>
  <si>
    <t>Retribución al Empresario</t>
  </si>
  <si>
    <t>Propietario:</t>
  </si>
  <si>
    <t>CONCEPTO</t>
  </si>
  <si>
    <t>$/unidad</t>
  </si>
  <si>
    <t>Cant.</t>
  </si>
  <si>
    <t>VN</t>
  </si>
  <si>
    <t>d</t>
  </si>
  <si>
    <t>Amort.</t>
  </si>
  <si>
    <t>* Mant.vehículos (seg-pat-rep)</t>
  </si>
  <si>
    <t>Ingresos y Egresos fuera de la Explotación</t>
  </si>
  <si>
    <t>Localidad:</t>
  </si>
  <si>
    <t>CAPITAL FUNDIARIO</t>
  </si>
  <si>
    <t>V.Actual</t>
  </si>
  <si>
    <t>Amortiz.</t>
  </si>
  <si>
    <t>Durac.</t>
  </si>
  <si>
    <t>Edad</t>
  </si>
  <si>
    <t>* Combustibles vehículo</t>
  </si>
  <si>
    <t xml:space="preserve">Servicios a terceros </t>
  </si>
  <si>
    <t>Departamento:</t>
  </si>
  <si>
    <t xml:space="preserve">Tractor   </t>
  </si>
  <si>
    <t>* Impuestos</t>
  </si>
  <si>
    <t>......................</t>
  </si>
  <si>
    <t>Provincia:</t>
  </si>
  <si>
    <t>TIERRA</t>
  </si>
  <si>
    <t>* Energía eléctrica</t>
  </si>
  <si>
    <t>........................</t>
  </si>
  <si>
    <t>Dirección:</t>
  </si>
  <si>
    <t xml:space="preserve">Tierra </t>
  </si>
  <si>
    <t xml:space="preserve">Tractor </t>
  </si>
  <si>
    <t>* Agua</t>
  </si>
  <si>
    <t>Teléfono:</t>
  </si>
  <si>
    <t>Tierra</t>
  </si>
  <si>
    <t>* Arrendamiento agrícola  ($/ha/mes)</t>
  </si>
  <si>
    <t>Total Ingresos y Egresos fuera de la Explotación</t>
  </si>
  <si>
    <t>e-mail:</t>
  </si>
  <si>
    <t>ALAMBRADOS</t>
  </si>
  <si>
    <t xml:space="preserve"> </t>
  </si>
  <si>
    <t>Tractor</t>
  </si>
  <si>
    <t>* Arrendamiento tambo ($/ha/mes)</t>
  </si>
  <si>
    <t xml:space="preserve">Tipo A (m) </t>
  </si>
  <si>
    <t>HP TOTALES</t>
  </si>
  <si>
    <t>* Arrendamiento ganadería ($/ha/mes)</t>
  </si>
  <si>
    <t>Otros Ingresos provenientes de la Explotación</t>
  </si>
  <si>
    <t>DATOS del ASESOR</t>
  </si>
  <si>
    <t>Tipo B (m)</t>
  </si>
  <si>
    <t>* Personal</t>
  </si>
  <si>
    <t>Nombre</t>
  </si>
  <si>
    <t>Tipo C (m)</t>
  </si>
  <si>
    <t xml:space="preserve">                                         EH</t>
  </si>
  <si>
    <t>Tipo D (m)</t>
  </si>
  <si>
    <t>* Administración</t>
  </si>
  <si>
    <t>CONSTRUCCIONES</t>
  </si>
  <si>
    <t xml:space="preserve">* Retrib. Mano de Obra fliar </t>
  </si>
  <si>
    <t xml:space="preserve">Total </t>
  </si>
  <si>
    <t>Casa (m2)</t>
  </si>
  <si>
    <t>Casa personal (m2)</t>
  </si>
  <si>
    <t>MAQUINARIAS Y EQUIPOS</t>
  </si>
  <si>
    <t>* Varios</t>
  </si>
  <si>
    <t>Superficie:</t>
  </si>
  <si>
    <t>propia utilizable</t>
  </si>
  <si>
    <t>ha</t>
  </si>
  <si>
    <t>I.P.Tierra</t>
  </si>
  <si>
    <t xml:space="preserve">Galpon piso tierra (m2) </t>
  </si>
  <si>
    <t>Arado de 5 rejas</t>
  </si>
  <si>
    <t>* Asesoramiento técnico</t>
  </si>
  <si>
    <t>propia no utilizable (mejoras, lagunas, etc)</t>
  </si>
  <si>
    <t>Galpon con piso (m2)</t>
  </si>
  <si>
    <t>Rastra de dientes c/rabasto</t>
  </si>
  <si>
    <t>* Asesoramiento contable</t>
  </si>
  <si>
    <t>arrendada utilizable</t>
  </si>
  <si>
    <t>Galpon maquinarias (m2)</t>
  </si>
  <si>
    <t xml:space="preserve">Rastra discos doble acción </t>
  </si>
  <si>
    <t>-------</t>
  </si>
  <si>
    <t>arrendada no utilizable (mejoras, lagunas, etc)</t>
  </si>
  <si>
    <t>Galpon varios (m2)</t>
  </si>
  <si>
    <t>Rastra desencontrada</t>
  </si>
  <si>
    <t>Total utilizable</t>
  </si>
  <si>
    <t>Tinglado de ordeño (m2)</t>
  </si>
  <si>
    <t>Cincel 13 púas</t>
  </si>
  <si>
    <t>Sala de leche /maq.(m2)</t>
  </si>
  <si>
    <t>Sembradora grano fino y grueso SD</t>
  </si>
  <si>
    <t>Asignación de Superficie</t>
  </si>
  <si>
    <t>Instalación hacienda</t>
  </si>
  <si>
    <t>Sembradora grano grueso SD</t>
  </si>
  <si>
    <t>Tambo</t>
  </si>
  <si>
    <t>Silo</t>
  </si>
  <si>
    <t xml:space="preserve">Pulverizadora </t>
  </si>
  <si>
    <t>Vaca Total - VT</t>
  </si>
  <si>
    <t xml:space="preserve">Silo </t>
  </si>
  <si>
    <t>Total Gastos Estructura</t>
  </si>
  <si>
    <t>Contrapiso</t>
  </si>
  <si>
    <t>……</t>
  </si>
  <si>
    <t>Invernada</t>
  </si>
  <si>
    <t>AGUADAS</t>
  </si>
  <si>
    <t>Agricultura</t>
  </si>
  <si>
    <t>Molinos</t>
  </si>
  <si>
    <t>Total de Superficie Utilizable</t>
  </si>
  <si>
    <t>Tanque australiano grande</t>
  </si>
  <si>
    <t>Tanque australiano chico</t>
  </si>
  <si>
    <t xml:space="preserve">Bebederos </t>
  </si>
  <si>
    <t>FORRAJERAS</t>
  </si>
  <si>
    <t>Tanque loza chico</t>
  </si>
  <si>
    <t>Picadora de forrajes</t>
  </si>
  <si>
    <t>PRADERAS</t>
  </si>
  <si>
    <t>Carro forrajero</t>
  </si>
  <si>
    <t xml:space="preserve">Base alfalfa </t>
  </si>
  <si>
    <t xml:space="preserve">Desmalezadora </t>
  </si>
  <si>
    <t>Base festuca</t>
  </si>
  <si>
    <t>Mixer c/ Balanza</t>
  </si>
  <si>
    <t xml:space="preserve">Enrrolladora </t>
  </si>
  <si>
    <t>Transportador de rollos</t>
  </si>
  <si>
    <t>Extractor de silos</t>
  </si>
  <si>
    <t>TOTALES</t>
  </si>
  <si>
    <t xml:space="preserve">Moledora </t>
  </si>
  <si>
    <t>Rastrillo lateral</t>
  </si>
  <si>
    <t>Valor de la tierra con mejoras $/ha:</t>
  </si>
  <si>
    <t>(comparar con valor de mercado)</t>
  </si>
  <si>
    <t>Pinche para rollos</t>
  </si>
  <si>
    <t>RODADOS</t>
  </si>
  <si>
    <t>Pick up</t>
  </si>
  <si>
    <t>................</t>
  </si>
  <si>
    <t>VARIOS</t>
  </si>
  <si>
    <t>Boyero</t>
  </si>
  <si>
    <t>Tanque combustible</t>
  </si>
  <si>
    <t>Acoplado</t>
  </si>
  <si>
    <t>ORDEÑO</t>
  </si>
  <si>
    <t>Ordeñadora  de 8 bajadas</t>
  </si>
  <si>
    <t>Equipo de refrescado</t>
  </si>
  <si>
    <t>Equpo de refrigerado</t>
  </si>
  <si>
    <t>Tanque de frío</t>
  </si>
  <si>
    <t>Motor</t>
  </si>
  <si>
    <t>RIEGO</t>
  </si>
  <si>
    <t>Varios</t>
  </si>
  <si>
    <t>……………….</t>
  </si>
  <si>
    <t>Edad promedio equipos tracción, labores y forrajeros (años):</t>
  </si>
  <si>
    <t xml:space="preserve">        Rastrojos</t>
  </si>
  <si>
    <t xml:space="preserve">        Campo Natural</t>
  </si>
  <si>
    <t xml:space="preserve">        .......................</t>
  </si>
  <si>
    <t>Tierra y Mejoras</t>
  </si>
  <si>
    <t>Maquinarias y Equipos</t>
  </si>
  <si>
    <t>Hacienda</t>
  </si>
  <si>
    <t>Circulante</t>
  </si>
  <si>
    <t>Total Activo promedio</t>
  </si>
  <si>
    <t>Incorporaciones de Capital</t>
  </si>
  <si>
    <t>Superficie propia utilizable</t>
  </si>
  <si>
    <t>Superficie arrendada utilizable</t>
  </si>
  <si>
    <t>Superficie total utilizable</t>
  </si>
  <si>
    <t>Superficie efectiva agricola</t>
  </si>
  <si>
    <t>Superficie efect. ganadera (tambo+invernada)</t>
  </si>
  <si>
    <t xml:space="preserve">        Praderas </t>
  </si>
  <si>
    <t xml:space="preserve">        Verdeos </t>
  </si>
  <si>
    <t xml:space="preserve">        Silo</t>
  </si>
  <si>
    <t xml:space="preserve">        Grano Humedo</t>
  </si>
  <si>
    <t>Superficie dedicada a Tambo</t>
  </si>
  <si>
    <t>Superficie dedicada a VT</t>
  </si>
  <si>
    <t>Superficie efectiva invernada</t>
  </si>
  <si>
    <t>Superficie efectiva agrícola</t>
  </si>
  <si>
    <t>Dotación de Hacienda</t>
  </si>
  <si>
    <t>Dotación de Tambo</t>
  </si>
  <si>
    <t>Dotación de Invernada</t>
  </si>
  <si>
    <t>Potencia disponible</t>
  </si>
  <si>
    <t>Mano de obra total</t>
  </si>
  <si>
    <t>Mano de obra familiar</t>
  </si>
  <si>
    <t>Producción leche total</t>
  </si>
  <si>
    <t>Producción leche vendida</t>
  </si>
  <si>
    <t>Producción Grasa Butirosa total vendida</t>
  </si>
  <si>
    <t>Producción Proteina total vendida</t>
  </si>
  <si>
    <t>Producción Carne Tambo (+ventas-compras(+/-)dif.inventario)</t>
  </si>
  <si>
    <t>Ventas menos Compras Invernada</t>
  </si>
  <si>
    <t>Diferencia de Inventario Invernada</t>
  </si>
  <si>
    <t>Producción Carne Invernada (+ventas-compras(+/-)dif.inventario)</t>
  </si>
  <si>
    <t>Valor Bruto de la Producción(VBP)</t>
  </si>
  <si>
    <t>VBP Tambo</t>
  </si>
  <si>
    <t>VBP Invernada</t>
  </si>
  <si>
    <t>VBP Agrícola</t>
  </si>
  <si>
    <t>Costos Directos Tambo</t>
  </si>
  <si>
    <t>Costos Directos Invernada</t>
  </si>
  <si>
    <t>Gastos Directos Agricultura</t>
  </si>
  <si>
    <t>Gastos de Estructura</t>
  </si>
  <si>
    <t>Amortizaciones totales</t>
  </si>
  <si>
    <t>Superficie total/EH</t>
  </si>
  <si>
    <t>Cabezas totales/EH</t>
  </si>
  <si>
    <t>Hp/SAU</t>
  </si>
  <si>
    <t>Superficie arrendada/SAU</t>
  </si>
  <si>
    <t>Superficie ganadera/SAU</t>
  </si>
  <si>
    <t>Superficie agrícola/SAU</t>
  </si>
  <si>
    <t>VT/SAU</t>
  </si>
  <si>
    <t>Cab/SAU</t>
  </si>
  <si>
    <t>Cant. EV Tambo/EVTotales</t>
  </si>
  <si>
    <t>EVT/SAU</t>
  </si>
  <si>
    <t>EH familiar/EH totales</t>
  </si>
  <si>
    <t>EH ordeño/EH totales</t>
  </si>
  <si>
    <t>Incorporaciones de Capital/SAU</t>
  </si>
  <si>
    <t>Capital Agrario/EH</t>
  </si>
  <si>
    <t>Grado de Intensidad Agraria</t>
  </si>
  <si>
    <t>Grado mecanización</t>
  </si>
  <si>
    <t>Gastos Estructura/G.totales</t>
  </si>
  <si>
    <t>Rentabilidad con tierra</t>
  </si>
  <si>
    <t>Rentabilidad sin tierra</t>
  </si>
  <si>
    <t>Rentabilidad Neta del Trabajo</t>
  </si>
  <si>
    <t>Rentab. Neta del Capital Fundiario</t>
  </si>
  <si>
    <t>Superf.efect. Praderas / sup.efect.ganadera</t>
  </si>
  <si>
    <t>Superf.efect. Verdeos / sup.efect.ganadera</t>
  </si>
  <si>
    <t>Superf.efect. Silo / sup.efect.ganadera</t>
  </si>
  <si>
    <t>Superf.efect.Grano Hum / sup.efect.ganadera</t>
  </si>
  <si>
    <t>Superf.efect.rastrojos / sup.efect.ganadera</t>
  </si>
  <si>
    <t>Superf.efect. Campo nat / sup.efect.ganadera</t>
  </si>
  <si>
    <t>Superf. Efectiva praderas / sup.efect.tambo</t>
  </si>
  <si>
    <t>Receptividad</t>
  </si>
  <si>
    <t>Carga Animal</t>
  </si>
  <si>
    <t>Rel. VO/VT</t>
  </si>
  <si>
    <t>Descarte de vientres</t>
  </si>
  <si>
    <t>Tasa de extracción calc. (sobre kg)</t>
  </si>
  <si>
    <t>Mortandad  de jóvenes</t>
  </si>
  <si>
    <t>Mortandad  de adultos</t>
  </si>
  <si>
    <t>Porcentaje pariciones</t>
  </si>
  <si>
    <t>Intervalo entre partos</t>
  </si>
  <si>
    <t>Duración media de lactancia</t>
  </si>
  <si>
    <t>Edad entore vaquillonas</t>
  </si>
  <si>
    <t>Peso entore vaquillonas</t>
  </si>
  <si>
    <t>Prod. Leche Total</t>
  </si>
  <si>
    <t>Leche consumida</t>
  </si>
  <si>
    <t>Porcentaje de GB (valor promedio de venta)</t>
  </si>
  <si>
    <t>Porcentaje de Proteina (valor promedio de venta)</t>
  </si>
  <si>
    <t>Consumo de concentrado/lt.leche</t>
  </si>
  <si>
    <t>Consumo de concentrado/VT</t>
  </si>
  <si>
    <t>Productividad de la MO ordeño</t>
  </si>
  <si>
    <t>Superf. Efectiva praderas / sup.efect.invernada</t>
  </si>
  <si>
    <t>Superf. Efectiva campo natural / sup.efect.invernada</t>
  </si>
  <si>
    <t>Carga Animal/ha  invernada</t>
  </si>
  <si>
    <t>Mortandad</t>
  </si>
  <si>
    <t>Hacienda Capitalización</t>
  </si>
  <si>
    <t>Tasa de extracción invernada calc.sobre kgs.</t>
  </si>
  <si>
    <t>Eficiencia de Stock (prod.carne/existencia promedio)</t>
  </si>
  <si>
    <t>Consumo de concentrado</t>
  </si>
  <si>
    <t>Duración invernada novillos</t>
  </si>
  <si>
    <t>Ganancia de peso novillos</t>
  </si>
  <si>
    <t>Duración invernada vaquillonas</t>
  </si>
  <si>
    <t>Ganancia de peso vaquillonas</t>
  </si>
  <si>
    <t>Duración invernada vacas</t>
  </si>
  <si>
    <t>Ganancia de peso vacas</t>
  </si>
  <si>
    <t xml:space="preserve">Productividad de la MO </t>
  </si>
  <si>
    <t>UTA/ha</t>
  </si>
  <si>
    <t>Kg. fertilizante/ha</t>
  </si>
  <si>
    <t>Nro. Aplicaciones Agroquímicos</t>
  </si>
  <si>
    <t>Gasto Alimentación/VT</t>
  </si>
  <si>
    <t>Gasto Mano obra ordeño/VT</t>
  </si>
  <si>
    <t>Gasto  Forrajes +Grano H.+Reservas/VT</t>
  </si>
  <si>
    <t>Gasto Concentrados/VT</t>
  </si>
  <si>
    <t>Gastos Directos/l.leche producida</t>
  </si>
  <si>
    <t>Gastos Directos/kg GB</t>
  </si>
  <si>
    <t>Margen sobre Concentrado/litros</t>
  </si>
  <si>
    <t>Margen Bruto</t>
  </si>
  <si>
    <t>Costo Alimentación/cabeza</t>
  </si>
  <si>
    <t>Costo Mano obra /cabeza</t>
  </si>
  <si>
    <t>Costo Forrajes+Grano H.+Reservas/cabeza</t>
  </si>
  <si>
    <t>Costo Concentrados/cabeza</t>
  </si>
  <si>
    <t>Gastos Directos/kg. carne prod.</t>
  </si>
  <si>
    <t>Relación compra/venta</t>
  </si>
  <si>
    <t>Precio Venta hacienda propia</t>
  </si>
  <si>
    <t>Precio Venta hacienda capitalización</t>
  </si>
  <si>
    <t>Gasto fertilizante/Sup. Agrícola</t>
  </si>
  <si>
    <t>Gasto herbicida/Sup. Agrícola</t>
  </si>
  <si>
    <t>Gasto  insecticidas/Sup. Agrícola</t>
  </si>
  <si>
    <t>Margen Bruto Promedio Agricola</t>
  </si>
  <si>
    <t>Productividad  rodeo tambo</t>
  </si>
  <si>
    <t>Productividad  rodeo invernada</t>
  </si>
  <si>
    <t>Indice general de Productividad</t>
  </si>
  <si>
    <t>Vbp Cultivo  1/Sup 1</t>
  </si>
  <si>
    <t>Vbp Cultivo  2/Sup 2</t>
  </si>
  <si>
    <t>Vbp Cultivo  3/Sup 3</t>
  </si>
  <si>
    <t>Vbp Cultivo  4/Sup 4</t>
  </si>
  <si>
    <t>Vbp Cultivo  5/Sup 5</t>
  </si>
  <si>
    <t>Vbp Cultivo  6/Sup 6</t>
  </si>
  <si>
    <t>Vbp Cultivo  7/Sup 7</t>
  </si>
  <si>
    <t>Vbp Cultivo  8/Sup 8</t>
  </si>
  <si>
    <t>Vbp Cultivo  9/Sup 9</t>
  </si>
  <si>
    <t>Productividad del rodeo tambo</t>
  </si>
  <si>
    <t>Productividad del rodeo invernada</t>
  </si>
  <si>
    <t>Empresa</t>
  </si>
  <si>
    <r>
      <t>II</t>
    </r>
    <r>
      <rPr>
        <b/>
        <sz val="10"/>
        <rFont val="Arial"/>
        <family val="2"/>
      </rPr>
      <t>.3  - USO DEL SUELO y BALANCE FORRAJERO TAMBO</t>
    </r>
  </si>
  <si>
    <r>
      <t>II</t>
    </r>
    <r>
      <rPr>
        <b/>
        <sz val="10"/>
        <rFont val="Arial"/>
        <family val="2"/>
      </rPr>
      <t xml:space="preserve">. 6  - COMPRAS Y VENTAS DE GANADO </t>
    </r>
  </si>
  <si>
    <r>
      <t>II</t>
    </r>
    <r>
      <rPr>
        <b/>
        <sz val="10"/>
        <color indexed="8"/>
        <rFont val="Arial"/>
        <family val="2"/>
      </rPr>
      <t>.5 - EXISTENCIA GANADERA</t>
    </r>
  </si>
  <si>
    <t/>
  </si>
  <si>
    <r>
      <t>II.</t>
    </r>
    <r>
      <rPr>
        <b/>
        <sz val="9"/>
        <color indexed="8"/>
        <rFont val="Arial"/>
        <family val="2"/>
      </rPr>
      <t xml:space="preserve"> 1 - INFORMACION GENERAL y  TECNOLOGIA APLICADA </t>
    </r>
    <r>
      <rPr>
        <b/>
        <i/>
        <sz val="9"/>
        <color indexed="8"/>
        <rFont val="Arial"/>
        <family val="2"/>
      </rPr>
      <t>TAMBO</t>
    </r>
  </si>
  <si>
    <r>
      <t xml:space="preserve">II. 1.1 - VENTA DE LECHE </t>
    </r>
    <r>
      <rPr>
        <b/>
        <i/>
        <sz val="9"/>
        <rFont val="Comic Sans MS"/>
        <family val="4"/>
      </rPr>
      <t>TAMBO</t>
    </r>
  </si>
  <si>
    <t>CULTIVOS</t>
  </si>
  <si>
    <t>Superficie</t>
  </si>
  <si>
    <t>Tpo ocup</t>
  </si>
  <si>
    <t>MCal/ha</t>
  </si>
  <si>
    <t>Aporte/cultivo</t>
  </si>
  <si>
    <t xml:space="preserve">Las categorías de hacienda que se transfieren de tambo a invernada deberan cargarse como ventas del tambo  y como compra en la </t>
  </si>
  <si>
    <t xml:space="preserve"> Mes 1</t>
  </si>
  <si>
    <t xml:space="preserve"> Mes 12</t>
  </si>
  <si>
    <t>meses</t>
  </si>
  <si>
    <t>MCal</t>
  </si>
  <si>
    <t>invernada. Esa proporción de ventas y compras correspondientes a transferencias no tendrá gastos de comercialización y transporte.</t>
  </si>
  <si>
    <t xml:space="preserve">     Categorías</t>
  </si>
  <si>
    <t>EV/Cab.</t>
  </si>
  <si>
    <t>Cab.</t>
  </si>
  <si>
    <t>Kg/cab</t>
  </si>
  <si>
    <t>$/Cab ó Kg.</t>
  </si>
  <si>
    <t xml:space="preserve">Duración promedio lactancias </t>
  </si>
  <si>
    <t>días</t>
  </si>
  <si>
    <t>Mes</t>
  </si>
  <si>
    <t>lt de leche</t>
  </si>
  <si>
    <t>kg G. B.</t>
  </si>
  <si>
    <t>kg Proteína</t>
  </si>
  <si>
    <t>Importe total</t>
  </si>
  <si>
    <t>$/lt.</t>
  </si>
  <si>
    <t xml:space="preserve">  Base alfalfa 1er año</t>
  </si>
  <si>
    <t>1 - TAMBO</t>
  </si>
  <si>
    <t xml:space="preserve">Intervalo entre partos </t>
  </si>
  <si>
    <t>JUL</t>
  </si>
  <si>
    <t xml:space="preserve">                     2do año</t>
  </si>
  <si>
    <t>TAMBO</t>
  </si>
  <si>
    <t>INVERNADA</t>
  </si>
  <si>
    <t xml:space="preserve">     Vaca total</t>
  </si>
  <si>
    <t>Leche vendida</t>
  </si>
  <si>
    <t>litros/año</t>
  </si>
  <si>
    <t>AGOSTO</t>
  </si>
  <si>
    <t xml:space="preserve">                     3er año</t>
  </si>
  <si>
    <t xml:space="preserve">VENTAS </t>
  </si>
  <si>
    <t>VENTAS</t>
  </si>
  <si>
    <t xml:space="preserve">     Vaca ordeño</t>
  </si>
  <si>
    <t>% G.B.</t>
  </si>
  <si>
    <t>kg GB/año</t>
  </si>
  <si>
    <t>SETIEMBRE</t>
  </si>
  <si>
    <t xml:space="preserve">                    4to año</t>
  </si>
  <si>
    <t>kg/cab</t>
  </si>
  <si>
    <t>$/cab</t>
  </si>
  <si>
    <t xml:space="preserve">     Vaca seca</t>
  </si>
  <si>
    <t>% Proteina</t>
  </si>
  <si>
    <t>Kg. Proteina/año</t>
  </si>
  <si>
    <t>OCTUBRE</t>
  </si>
  <si>
    <t>.....................</t>
  </si>
  <si>
    <t xml:space="preserve">     Vaca descarte</t>
  </si>
  <si>
    <t>Hacienda Propia</t>
  </si>
  <si>
    <t xml:space="preserve">     Vaquillonas preñadas</t>
  </si>
  <si>
    <t>Facturación anual</t>
  </si>
  <si>
    <t>NOVIEMBRE</t>
  </si>
  <si>
    <t xml:space="preserve"> Base festuca 1er año</t>
  </si>
  <si>
    <t xml:space="preserve">     Vaca en producción</t>
  </si>
  <si>
    <t xml:space="preserve">     Vaquillonas en servicio</t>
  </si>
  <si>
    <t>Precio ponderado leche</t>
  </si>
  <si>
    <t>$/litro</t>
  </si>
  <si>
    <t>DICIEMBRE</t>
  </si>
  <si>
    <t xml:space="preserve">     Vaq.Preñadas</t>
  </si>
  <si>
    <t xml:space="preserve">     Vaquillonas sin servicio</t>
  </si>
  <si>
    <t xml:space="preserve">CANALES DE COMERCIALIZACION DE LECHE </t>
  </si>
  <si>
    <t>ENERO</t>
  </si>
  <si>
    <t xml:space="preserve">                    3er año</t>
  </si>
  <si>
    <t xml:space="preserve">     Vaquillas</t>
  </si>
  <si>
    <t xml:space="preserve">     Terneras &lt; 1 año</t>
  </si>
  <si>
    <t>Sistema de crianza de terneros</t>
  </si>
  <si>
    <t>vaca ama</t>
  </si>
  <si>
    <t xml:space="preserve">        (si/no)</t>
  </si>
  <si>
    <t>FEBRERO</t>
  </si>
  <si>
    <t xml:space="preserve">     .........</t>
  </si>
  <si>
    <t>..............</t>
  </si>
  <si>
    <t xml:space="preserve">     Terneros &lt; 1 año</t>
  </si>
  <si>
    <t>artificial</t>
  </si>
  <si>
    <t>jaula (si/no)</t>
  </si>
  <si>
    <t>MARZO</t>
  </si>
  <si>
    <t xml:space="preserve"> Rastrojo</t>
  </si>
  <si>
    <t xml:space="preserve">     Equinos</t>
  </si>
  <si>
    <t>estaca (si/no)</t>
  </si>
  <si>
    <t>ABRIL</t>
  </si>
  <si>
    <t xml:space="preserve">  Campo natural</t>
  </si>
  <si>
    <t xml:space="preserve">     Toros</t>
  </si>
  <si>
    <t>Alimentación</t>
  </si>
  <si>
    <t>leche</t>
  </si>
  <si>
    <t>l/cab/día</t>
  </si>
  <si>
    <t>MAYO</t>
  </si>
  <si>
    <t xml:space="preserve">  Moha</t>
  </si>
  <si>
    <t xml:space="preserve">     Terneros</t>
  </si>
  <si>
    <t>TOTAL</t>
  </si>
  <si>
    <t>balanceado</t>
  </si>
  <si>
    <t>kg/cab/día</t>
  </si>
  <si>
    <t>JUNIO</t>
  </si>
  <si>
    <t xml:space="preserve">  Sorgo forrajero</t>
  </si>
  <si>
    <t xml:space="preserve">     Terneras</t>
  </si>
  <si>
    <t>2 - INVERNADA PROPIA</t>
  </si>
  <si>
    <t>$/Kg</t>
  </si>
  <si>
    <t xml:space="preserve">$/Kg </t>
  </si>
  <si>
    <t>pastura</t>
  </si>
  <si>
    <t xml:space="preserve">  Silo Maiz</t>
  </si>
  <si>
    <t xml:space="preserve"> Criterios de desleche</t>
  </si>
  <si>
    <t>edad</t>
  </si>
  <si>
    <t xml:space="preserve">  Silo Sorgo</t>
  </si>
  <si>
    <t xml:space="preserve">     Otros</t>
  </si>
  <si>
    <t>Precio promedio H.P.($/kg)</t>
  </si>
  <si>
    <t>Novillitos</t>
  </si>
  <si>
    <t>peso</t>
  </si>
  <si>
    <t>kg</t>
  </si>
  <si>
    <t xml:space="preserve">  Otro cultivo para silo</t>
  </si>
  <si>
    <t>Precio promedio ($/kg)</t>
  </si>
  <si>
    <t>Precio promedio H.C.($/kg)</t>
  </si>
  <si>
    <t>Terneros</t>
  </si>
  <si>
    <t>Terneros criados al año</t>
  </si>
  <si>
    <t>cabezas</t>
  </si>
  <si>
    <t xml:space="preserve">  Avena</t>
  </si>
  <si>
    <t>Total ventas (Cabezas)</t>
  </si>
  <si>
    <t>Vaquillonas</t>
  </si>
  <si>
    <t>Mortandad jóvenes</t>
  </si>
  <si>
    <t>%</t>
  </si>
  <si>
    <t xml:space="preserve">  Maíz para grano húmedo</t>
  </si>
  <si>
    <t>Total ventas (kg)</t>
  </si>
  <si>
    <t>Vacas</t>
  </si>
  <si>
    <t>Mortandad adultos</t>
  </si>
  <si>
    <t xml:space="preserve">  Sorgo para grano húmedo</t>
  </si>
  <si>
    <t>Total ventas ($)</t>
  </si>
  <si>
    <t>Equinos</t>
  </si>
  <si>
    <t>Edad de vaquillonas al 1er.servicio:</t>
  </si>
  <si>
    <t>TOTAL OFERTA</t>
  </si>
  <si>
    <t xml:space="preserve">COMPRAS </t>
  </si>
  <si>
    <t>Peso de vaquillonas al 1er.servicio:</t>
  </si>
  <si>
    <t>DEMANDA                               (EV)</t>
  </si>
  <si>
    <t>Mcal</t>
  </si>
  <si>
    <t>Hacienda propia</t>
  </si>
  <si>
    <t>Sistema de ordeño</t>
  </si>
  <si>
    <t>manual/mecánico</t>
  </si>
  <si>
    <t>OFERTA forrajes groseros     (EV)</t>
  </si>
  <si>
    <t>3 - INVERNADA TOMADA EN CAPITALIZACION</t>
  </si>
  <si>
    <t>Sala de ordeñe</t>
  </si>
  <si>
    <t>brete a la par</t>
  </si>
  <si>
    <t>nro</t>
  </si>
  <si>
    <t>BALANCE      preliminar          (EV)</t>
  </si>
  <si>
    <t>Vaquillas</t>
  </si>
  <si>
    <t>espina de pescado</t>
  </si>
  <si>
    <t>CARGA (EV/HA GANADERA DE TAMBO)</t>
  </si>
  <si>
    <t>MANEJO REPRODUCTIVO</t>
  </si>
  <si>
    <t>CONCENTRADO DE AJUSTE</t>
  </si>
  <si>
    <t>kg/día</t>
  </si>
  <si>
    <t>días/año</t>
  </si>
  <si>
    <t>kg/año</t>
  </si>
  <si>
    <t xml:space="preserve">  Sistema de servicio</t>
  </si>
  <si>
    <t>a campo</t>
  </si>
  <si>
    <t>si/no</t>
  </si>
  <si>
    <t>Balanceado</t>
  </si>
  <si>
    <t>Entrada Capitalización</t>
  </si>
  <si>
    <t xml:space="preserve">a corral </t>
  </si>
  <si>
    <t>Sorgo</t>
  </si>
  <si>
    <t xml:space="preserve">    TOTAL CABEZAS</t>
  </si>
  <si>
    <t>insem. artificial</t>
  </si>
  <si>
    <t xml:space="preserve">si/no </t>
  </si>
  <si>
    <t xml:space="preserve">  Revisa toros</t>
  </si>
  <si>
    <t>$/cab.okg</t>
  </si>
  <si>
    <t>total</t>
  </si>
  <si>
    <t xml:space="preserve">  Usa registros registros reproductivos</t>
  </si>
  <si>
    <t>D.Invent.</t>
  </si>
  <si>
    <t>Existencia Promedio</t>
  </si>
  <si>
    <t>Peso Promedio</t>
  </si>
  <si>
    <t>Exist.Prom.</t>
  </si>
  <si>
    <t>Dif.Inv.</t>
  </si>
  <si>
    <t>Valor Prom.</t>
  </si>
  <si>
    <t>% de pariciones</t>
  </si>
  <si>
    <t>EV</t>
  </si>
  <si>
    <t>Kg</t>
  </si>
  <si>
    <t xml:space="preserve">    $/cab      </t>
  </si>
  <si>
    <t xml:space="preserve">     Terneros/as &lt; 1 año</t>
  </si>
  <si>
    <t>Total compras (Cabezas)</t>
  </si>
  <si>
    <r>
      <t>II.</t>
    </r>
    <r>
      <rPr>
        <b/>
        <sz val="9"/>
        <color indexed="8"/>
        <rFont val="Arial"/>
        <family val="2"/>
      </rPr>
      <t>2 - INFORMACION GENERAL - TECNOLOGIA APLICADA</t>
    </r>
    <r>
      <rPr>
        <b/>
        <i/>
        <sz val="9"/>
        <color indexed="8"/>
        <rFont val="Arial"/>
        <family val="2"/>
      </rPr>
      <t xml:space="preserve"> INVERNADA</t>
    </r>
  </si>
  <si>
    <t>Total compras (kg)</t>
  </si>
  <si>
    <t>Raza/s de ganado</t>
  </si>
  <si>
    <t>HOLANDO</t>
  </si>
  <si>
    <t>Total concentrados (kg)</t>
  </si>
  <si>
    <t>Total compras ($)</t>
  </si>
  <si>
    <t>Compra heno consumido (rollos)</t>
  </si>
  <si>
    <t>Compra silo planta entera (kg MS)</t>
  </si>
  <si>
    <t>Tomada en capitalización</t>
  </si>
  <si>
    <t xml:space="preserve">         Porcentaje de Capitalización</t>
  </si>
  <si>
    <t>SALDO EV</t>
  </si>
  <si>
    <t>Novillos</t>
  </si>
  <si>
    <t xml:space="preserve">% </t>
  </si>
  <si>
    <t>SALDO MCal</t>
  </si>
  <si>
    <t>Margen de seguridad</t>
  </si>
  <si>
    <t>RESERVAS PROPIAS CONSUMIDAS</t>
  </si>
  <si>
    <t>Silo Pack</t>
  </si>
  <si>
    <t>Fardos</t>
  </si>
  <si>
    <t>R. Moha/año</t>
  </si>
  <si>
    <t>Rollos Alf./año</t>
  </si>
  <si>
    <t>TOTAL  1</t>
  </si>
  <si>
    <t>Duración de la invernada propia</t>
  </si>
  <si>
    <t>Meses</t>
  </si>
  <si>
    <t>Otra categoria de tambo</t>
  </si>
  <si>
    <t>Duración de la invernada capitalización</t>
  </si>
  <si>
    <t>Total rollos/año</t>
  </si>
  <si>
    <t>Silo (ha-año)</t>
  </si>
  <si>
    <t>Control confeccion rollos</t>
  </si>
  <si>
    <t>Cant. maxima</t>
  </si>
  <si>
    <t>Rollos moha</t>
  </si>
  <si>
    <t>(rollos/año)</t>
  </si>
  <si>
    <t>TOTAL  2</t>
  </si>
  <si>
    <t>Rollos alfalfa</t>
  </si>
  <si>
    <t xml:space="preserve">Alfalfa para rollos </t>
  </si>
  <si>
    <r>
      <t>II.7</t>
    </r>
    <r>
      <rPr>
        <b/>
        <sz val="10"/>
        <color indexed="8"/>
        <rFont val="Arial"/>
        <family val="2"/>
      </rPr>
      <t xml:space="preserve"> - EGRESOS GANADEROS</t>
    </r>
  </si>
  <si>
    <t>$/ha</t>
  </si>
  <si>
    <t>Cantidad total</t>
  </si>
  <si>
    <t xml:space="preserve"> $/año</t>
  </si>
  <si>
    <t>*Cultivos forrajeros anuales</t>
  </si>
  <si>
    <t>TOTAL  3</t>
  </si>
  <si>
    <r>
      <t>II</t>
    </r>
    <r>
      <rPr>
        <b/>
        <sz val="10"/>
        <rFont val="Arial"/>
        <family val="2"/>
      </rPr>
      <t>.4   - USO DEL SUELO y BALANCE FORRAJERO INVERNADA</t>
    </r>
  </si>
  <si>
    <t>TOTAL  1+2+3</t>
  </si>
  <si>
    <t>*Mantenimiento de praderas</t>
  </si>
  <si>
    <t>* Implantación de praderas base alfalfa</t>
  </si>
  <si>
    <t xml:space="preserve">* Implantación de praderas </t>
  </si>
  <si>
    <t>*Forrajes Conservados</t>
  </si>
  <si>
    <t xml:space="preserve">  Confección silo  maíz</t>
  </si>
  <si>
    <t xml:space="preserve">  Confección silo sorgo</t>
  </si>
  <si>
    <t xml:space="preserve">  Confección otro tipo de silo</t>
  </si>
  <si>
    <t xml:space="preserve">  Confección rollos alfalfa</t>
  </si>
  <si>
    <t>$/rollo</t>
  </si>
  <si>
    <t xml:space="preserve">  Confección rollos de moha</t>
  </si>
  <si>
    <t xml:space="preserve">  Confección  de fardos</t>
  </si>
  <si>
    <t xml:space="preserve">  Confección de silo pack</t>
  </si>
  <si>
    <t>$/kg MS</t>
  </si>
  <si>
    <t>*Concentrados  TAMBO</t>
  </si>
  <si>
    <t>$/kg</t>
  </si>
  <si>
    <t>CARGA (EV/HA GANADERA INVERNADA)</t>
  </si>
  <si>
    <t>Novillos invernada</t>
  </si>
  <si>
    <t>Novillitos invernada</t>
  </si>
  <si>
    <t>...........</t>
  </si>
  <si>
    <t>Terneros invernada</t>
  </si>
  <si>
    <t xml:space="preserve">      Leche consumida en guachera</t>
  </si>
  <si>
    <t>$/lts</t>
  </si>
  <si>
    <t>Vaquillonas invernada</t>
  </si>
  <si>
    <t>Vacas invernada</t>
  </si>
  <si>
    <t>*Concentrados  INVERNADA</t>
  </si>
  <si>
    <t>VER COMO SE CALCULA ACTIVO PROMEDIO</t>
  </si>
  <si>
    <t>VER COMO SE CALCULA INCORPORACIONES</t>
  </si>
  <si>
    <t>*Sanidad - Prod. Veterinarios</t>
  </si>
  <si>
    <t xml:space="preserve">    Prod. Vet+Honorarios (invernada)</t>
  </si>
  <si>
    <t>$/cab/año</t>
  </si>
  <si>
    <t xml:space="preserve">    Prod. Vet+Honorarios (tambo)</t>
  </si>
  <si>
    <t>$/VT/año</t>
  </si>
  <si>
    <t>* Inseminacion artificial (tambo)</t>
  </si>
  <si>
    <t>$/VO/año</t>
  </si>
  <si>
    <t>* Higiene  tambo</t>
  </si>
  <si>
    <t>* Energía eléctrica ordeño</t>
  </si>
  <si>
    <t>* Mantenimiento equipos ordeño</t>
  </si>
  <si>
    <t>* Control lechero</t>
  </si>
  <si>
    <t>*Mano de obra</t>
  </si>
  <si>
    <t>EH</t>
  </si>
  <si>
    <t>*Gastos de comercializac y transporte</t>
  </si>
  <si>
    <t xml:space="preserve">  Tambo</t>
  </si>
  <si>
    <t xml:space="preserve">  Invernada</t>
  </si>
  <si>
    <t>* OTROS GASTOS DE INVERNADA</t>
  </si>
  <si>
    <t>* .......................</t>
  </si>
  <si>
    <t>* OTROS GASTOS DE TAMBO</t>
  </si>
  <si>
    <t>TOTAL EGRESOS GANADEROS POR ACTIVIDAD</t>
  </si>
  <si>
    <t xml:space="preserve">TOTAL EGRESOS GANADEROS </t>
  </si>
  <si>
    <r>
      <t>III</t>
    </r>
    <r>
      <rPr>
        <b/>
        <sz val="10"/>
        <rFont val="Arial"/>
        <family val="2"/>
      </rPr>
      <t>.1 - CULTIVO 1</t>
    </r>
  </si>
  <si>
    <r>
      <t>III.</t>
    </r>
    <r>
      <rPr>
        <b/>
        <sz val="10"/>
        <rFont val="Arial"/>
        <family val="2"/>
      </rPr>
      <t>2 - CULTIVO 2</t>
    </r>
  </si>
  <si>
    <r>
      <t>III</t>
    </r>
    <r>
      <rPr>
        <b/>
        <sz val="10"/>
        <rFont val="Arial"/>
        <family val="2"/>
      </rPr>
      <t>.3 - CULTIVO 3</t>
    </r>
  </si>
  <si>
    <r>
      <t>III</t>
    </r>
    <r>
      <rPr>
        <b/>
        <sz val="10"/>
        <rFont val="Arial"/>
        <family val="2"/>
      </rPr>
      <t>. 4 - CULTIVO 4</t>
    </r>
  </si>
  <si>
    <r>
      <t>III</t>
    </r>
    <r>
      <rPr>
        <b/>
        <sz val="10"/>
        <rFont val="Arial"/>
        <family val="2"/>
      </rPr>
      <t>. 5 - CULTIVO 5</t>
    </r>
  </si>
  <si>
    <r>
      <t>III.</t>
    </r>
    <r>
      <rPr>
        <b/>
        <sz val="10"/>
        <rFont val="Arial"/>
        <family val="2"/>
      </rPr>
      <t>6 - CULTIVO 6</t>
    </r>
  </si>
  <si>
    <r>
      <t>III</t>
    </r>
    <r>
      <rPr>
        <b/>
        <sz val="10"/>
        <rFont val="Arial"/>
        <family val="2"/>
      </rPr>
      <t>.7 - CULTIVO 7</t>
    </r>
  </si>
  <si>
    <r>
      <t>III</t>
    </r>
    <r>
      <rPr>
        <b/>
        <sz val="10"/>
        <rFont val="Arial"/>
        <family val="2"/>
      </rPr>
      <t>. 8 - CULTIVO 8</t>
    </r>
  </si>
  <si>
    <r>
      <t>III</t>
    </r>
    <r>
      <rPr>
        <b/>
        <sz val="10"/>
        <rFont val="Arial"/>
        <family val="2"/>
      </rPr>
      <t>. 9 - CULTIVO 9</t>
    </r>
  </si>
  <si>
    <t>CULTIVO:</t>
  </si>
  <si>
    <t>HECTAREAS:</t>
  </si>
  <si>
    <t>TIEMPO DE OCUPACION (meses)</t>
  </si>
  <si>
    <t>ANTECESOR:</t>
  </si>
  <si>
    <t>1- GASTOS FIJOS</t>
  </si>
  <si>
    <t>UTA (lt/HA)</t>
  </si>
  <si>
    <t>GAS-OIL ($/lt):</t>
  </si>
  <si>
    <t>Propia</t>
  </si>
  <si>
    <t>Contratista</t>
  </si>
  <si>
    <t>A- LABORES PROPIAS</t>
  </si>
  <si>
    <t>COEF. UTA</t>
  </si>
  <si>
    <t>NRO. PASADAS</t>
  </si>
  <si>
    <t>SUBTOTAL</t>
  </si>
  <si>
    <t>Arado Reja</t>
  </si>
  <si>
    <t>Desencontrada</t>
  </si>
  <si>
    <t>Fertilizadora</t>
  </si>
  <si>
    <t>Arado Disco</t>
  </si>
  <si>
    <t>Doble acción</t>
  </si>
  <si>
    <t>Doble Acción</t>
  </si>
  <si>
    <t>Arado Cincel</t>
  </si>
  <si>
    <t>Disco excentrico</t>
  </si>
  <si>
    <t>Rastra</t>
  </si>
  <si>
    <t>Siembra + inoculada</t>
  </si>
  <si>
    <t>Siembra Directa</t>
  </si>
  <si>
    <t>Escardillo</t>
  </si>
  <si>
    <t>Pulverizaciones terrestres</t>
  </si>
  <si>
    <t>Cultivador</t>
  </si>
  <si>
    <t>Carpidor</t>
  </si>
  <si>
    <t>Pulverizaciones aereas</t>
  </si>
  <si>
    <t>TOTAL LABORES PROPIAS</t>
  </si>
  <si>
    <t>B- LABORES CONTRATADAS</t>
  </si>
  <si>
    <t>Cosecha de Alfalfa</t>
  </si>
  <si>
    <t>Servicio Silage Villa Ana</t>
  </si>
  <si>
    <t xml:space="preserve">Flete Grafer </t>
  </si>
  <si>
    <t>TOTAL LABORES CONTRATADAS</t>
  </si>
  <si>
    <t>TOTAL LABORES</t>
  </si>
  <si>
    <t>C- INSUMOS</t>
  </si>
  <si>
    <t>PRECIO</t>
  </si>
  <si>
    <t>CANTIDAD/HA</t>
  </si>
  <si>
    <t>Semilla</t>
  </si>
  <si>
    <t>Semillas</t>
  </si>
  <si>
    <t>Inoculante</t>
  </si>
  <si>
    <t>Concept</t>
  </si>
  <si>
    <t xml:space="preserve">Inoculante </t>
  </si>
  <si>
    <t>HERBICIDAS</t>
  </si>
  <si>
    <t>Glifosato</t>
  </si>
  <si>
    <t>2,4D</t>
  </si>
  <si>
    <t>Banvel</t>
  </si>
  <si>
    <t>Atracina</t>
  </si>
  <si>
    <t>Acetoclor</t>
  </si>
  <si>
    <t>INSECTICIDAS</t>
  </si>
  <si>
    <t>Karate Zeon</t>
  </si>
  <si>
    <t>ROLEVAN</t>
  </si>
  <si>
    <t>ACEITE</t>
  </si>
  <si>
    <t>COADYUVANTE</t>
  </si>
  <si>
    <t>FERTILIZANTES</t>
  </si>
  <si>
    <t>Urea</t>
  </si>
  <si>
    <t>Sol UAN</t>
  </si>
  <si>
    <t>TOTAL INSUMOS</t>
  </si>
  <si>
    <t>D- RIEGO ($/HA*mm apl)</t>
  </si>
  <si>
    <t>E- OTROS GASTOS FIJOS ($/HA)</t>
  </si>
  <si>
    <t>TOTAL GASTOS  FIJOS ($/HA)</t>
  </si>
  <si>
    <t>TOTAL COSTO FIJO ($/HA)</t>
  </si>
  <si>
    <t>2- GASTOS VARIABLES</t>
  </si>
  <si>
    <t>% del precio</t>
  </si>
  <si>
    <t>$/QQ</t>
  </si>
  <si>
    <t>COSECHA</t>
  </si>
  <si>
    <t>COMERCIALIZACION</t>
  </si>
  <si>
    <t xml:space="preserve"> Flete</t>
  </si>
  <si>
    <t xml:space="preserve"> Impuestos/Paritaria</t>
  </si>
  <si>
    <t xml:space="preserve"> Acondicionamiento</t>
  </si>
  <si>
    <t xml:space="preserve"> Comision y gastos de acopio</t>
  </si>
  <si>
    <t xml:space="preserve"> Bonificacion</t>
  </si>
  <si>
    <t>APARCERIA</t>
  </si>
  <si>
    <t>TOTAL GASTOS VARIABLES ($/QQ)</t>
  </si>
  <si>
    <t>TOTAL COSTO VARIABLE ($/QQ)</t>
  </si>
  <si>
    <t>3- INGRESO BRUTO</t>
  </si>
  <si>
    <t>Precio ($/QQ)</t>
  </si>
  <si>
    <t>Rendimiento (QQ/HA)</t>
  </si>
  <si>
    <t>4- MARGEN BRUTO</t>
  </si>
  <si>
    <t>Ingreso Bruto</t>
  </si>
  <si>
    <t>($/HA)</t>
  </si>
  <si>
    <t xml:space="preserve">Gastos Fijos </t>
  </si>
  <si>
    <t xml:space="preserve">Costos Fijos </t>
  </si>
  <si>
    <t>Gastos Variables</t>
  </si>
  <si>
    <t>Costos Variables</t>
  </si>
  <si>
    <t>Relacion Margen/Costo</t>
  </si>
  <si>
    <t>($/$)</t>
  </si>
  <si>
    <t>UTAs</t>
  </si>
  <si>
    <t>Fertilizantes</t>
  </si>
  <si>
    <t>Aplicaciones Agr.</t>
  </si>
  <si>
    <r>
      <t>IV</t>
    </r>
    <r>
      <rPr>
        <b/>
        <sz val="10"/>
        <rFont val="Arial"/>
        <family val="2"/>
      </rPr>
      <t>.2 -  RESULTADO ECONÓMICO  DE LA EMPRESA</t>
    </r>
  </si>
  <si>
    <t>VALOR DE LA PRODUCCIÓN</t>
  </si>
  <si>
    <t>COSTOS DIRECTOS</t>
  </si>
  <si>
    <t>Costos Directos</t>
  </si>
  <si>
    <t>Ventas de</t>
  </si>
  <si>
    <t xml:space="preserve">Ventas netas </t>
  </si>
  <si>
    <t xml:space="preserve">Diferencia de </t>
  </si>
  <si>
    <t>MARGEN BRUTO TOTAL</t>
  </si>
  <si>
    <t xml:space="preserve"> de carne</t>
  </si>
  <si>
    <t xml:space="preserve">Inventario </t>
  </si>
  <si>
    <t>GASTOS DE ESTRUCTURA</t>
  </si>
  <si>
    <t>Contribución  al margen bruto total (%)</t>
  </si>
  <si>
    <t>2 - INVERNADA</t>
  </si>
  <si>
    <t>RESULTADO OPERATIVO</t>
  </si>
  <si>
    <t>AMORTIZACIONES</t>
  </si>
  <si>
    <t>Contribución al margen bruto total (%)</t>
  </si>
  <si>
    <t>RESULTADO LIBRE DE AMORTIZACIONES o INGRESO NETO</t>
  </si>
  <si>
    <t>3 - AGRICULTURA</t>
  </si>
  <si>
    <t>Cultivo</t>
  </si>
  <si>
    <t>Gastos directos</t>
  </si>
  <si>
    <t>RETRIBUCIÓN AL EMPRESARIO</t>
  </si>
  <si>
    <t>RESULTADO DE LA EXPLOTACIÓN</t>
  </si>
  <si>
    <t xml:space="preserve">RESULTADO FUERA </t>
  </si>
  <si>
    <t>DE LA EXPLOTACIÓN</t>
  </si>
  <si>
    <t>RESULTADO DE LA EMPRESA ANTES DE IMPUESTO A LAS GANANCIAS</t>
  </si>
  <si>
    <t>Total Agricultura</t>
  </si>
  <si>
    <t>Contribución de la agricultura al margen bruto total (%)</t>
  </si>
  <si>
    <t>RENTABILIDAD</t>
  </si>
  <si>
    <t>RENTABILIDAD SIN TIERRA</t>
  </si>
  <si>
    <t>COMPOSICION COSTO TOTAL</t>
  </si>
  <si>
    <t>MB/HA</t>
  </si>
  <si>
    <t>CD/HA</t>
  </si>
  <si>
    <t>INDICADORES RELEVANTES</t>
  </si>
  <si>
    <t>V.2 - Indicadores Globales</t>
  </si>
  <si>
    <t>V.3  - Indicadores de Eficiencia</t>
  </si>
  <si>
    <t>V. 3 - Indicadores de Eficiencia</t>
  </si>
  <si>
    <t>Empresa:</t>
  </si>
  <si>
    <r>
      <t>V.</t>
    </r>
    <r>
      <rPr>
        <b/>
        <sz val="10"/>
        <color indexed="12"/>
        <rFont val="Arial"/>
        <family val="2"/>
      </rPr>
      <t>1 - Recursos de la Organización</t>
    </r>
  </si>
  <si>
    <t>lts/año</t>
  </si>
  <si>
    <t>3.2 - Indicadores de la Tecnología Productiva</t>
  </si>
  <si>
    <t>3.3 - Indicadores de la Productividad</t>
  </si>
  <si>
    <t>1.1 - Composición del Capital</t>
  </si>
  <si>
    <t>$</t>
  </si>
  <si>
    <t>3.2.1 - Técnicos</t>
  </si>
  <si>
    <t>3.3.1 - Técnicos</t>
  </si>
  <si>
    <t>kg.GB/año</t>
  </si>
  <si>
    <t>3.2.1.1 - Ganadero total</t>
  </si>
  <si>
    <t>Ganaderos</t>
  </si>
  <si>
    <t>Kg.Proteina/año</t>
  </si>
  <si>
    <t>lts/ha VT</t>
  </si>
  <si>
    <t>kgr GB/VT</t>
  </si>
  <si>
    <t>kgr GB/SupVT</t>
  </si>
  <si>
    <t>Total</t>
  </si>
  <si>
    <t>kgr GB/Sup Efectiva Tambo</t>
  </si>
  <si>
    <t>kg carne/ha ganadera</t>
  </si>
  <si>
    <t>kg carne/cab.</t>
  </si>
  <si>
    <t>kg carne/Sup.invernada</t>
  </si>
  <si>
    <t>1.2 - Otros recursos disponibles</t>
  </si>
  <si>
    <t>Agrícolas</t>
  </si>
  <si>
    <t>Ha</t>
  </si>
  <si>
    <t>Productividad de la Superficie Agrícola</t>
  </si>
  <si>
    <t>EV/ha</t>
  </si>
  <si>
    <t>qq/ha</t>
  </si>
  <si>
    <t>VT./ha</t>
  </si>
  <si>
    <t>VT./ha VT</t>
  </si>
  <si>
    <t>Edad Promedio de los equipos</t>
  </si>
  <si>
    <t>años</t>
  </si>
  <si>
    <t xml:space="preserve">    </t>
  </si>
  <si>
    <t>3.3.2 - Económicos</t>
  </si>
  <si>
    <t>Vpb/G.directos</t>
  </si>
  <si>
    <t>Productividad de los cultivos</t>
  </si>
  <si>
    <t>Vbp Cult.1/ha</t>
  </si>
  <si>
    <t>kgrs/cab</t>
  </si>
  <si>
    <t>Vbp Cult.2/ha</t>
  </si>
  <si>
    <t>lts/VT-año</t>
  </si>
  <si>
    <t>Vbp Cult.3/ha</t>
  </si>
  <si>
    <t>lts/VO-año</t>
  </si>
  <si>
    <t>Vbp Cult.4/ha</t>
  </si>
  <si>
    <t>lts/VO-día</t>
  </si>
  <si>
    <t>Vbp Cult.5/ha</t>
  </si>
  <si>
    <t>cab</t>
  </si>
  <si>
    <t>lts/VT-día</t>
  </si>
  <si>
    <t>Vbp Cult.6/ha</t>
  </si>
  <si>
    <t>VT</t>
  </si>
  <si>
    <t xml:space="preserve">lts/día </t>
  </si>
  <si>
    <t>Vbp Cult.7/ha</t>
  </si>
  <si>
    <t>litros totales</t>
  </si>
  <si>
    <t>Vbp Cult.8/ha</t>
  </si>
  <si>
    <t>Hp</t>
  </si>
  <si>
    <t>% GB</t>
  </si>
  <si>
    <t>Vbp Cult.9/ha</t>
  </si>
  <si>
    <t>Vbp tambo/VT</t>
  </si>
  <si>
    <t>grs/lt.</t>
  </si>
  <si>
    <t>Vbp Invern./cab</t>
  </si>
  <si>
    <t>kg/VT</t>
  </si>
  <si>
    <t>VO/EH</t>
  </si>
  <si>
    <t>kgr.GB/EH</t>
  </si>
  <si>
    <t>3.1 - Indicadores de la organización</t>
  </si>
  <si>
    <t>3.1.1. Técnicos</t>
  </si>
  <si>
    <t>Ha/EH</t>
  </si>
  <si>
    <t>Cab/EH</t>
  </si>
  <si>
    <t>Hp/Ha</t>
  </si>
  <si>
    <t>cab/ha</t>
  </si>
  <si>
    <t>kg./ha</t>
  </si>
  <si>
    <t>% cab capitalizadas</t>
  </si>
  <si>
    <t>VT/ha</t>
  </si>
  <si>
    <t>Cab/Ha</t>
  </si>
  <si>
    <t>EV/Ha</t>
  </si>
  <si>
    <t>kg/kg producido</t>
  </si>
  <si>
    <t>GDPV (kg/día)</t>
  </si>
  <si>
    <t>3.1.2. Económicos</t>
  </si>
  <si>
    <t>$/EH</t>
  </si>
  <si>
    <t>V.C.A./SAU</t>
  </si>
  <si>
    <t>cab/EH</t>
  </si>
  <si>
    <t>V.Maq/SAU</t>
  </si>
  <si>
    <t>3.2.1.2 - Agrícolas</t>
  </si>
  <si>
    <t>$/$</t>
  </si>
  <si>
    <t>Kg./ha</t>
  </si>
  <si>
    <t>3.1.3.Rentabilidad</t>
  </si>
  <si>
    <t>veces</t>
  </si>
  <si>
    <t>Benef./Capital Agrario</t>
  </si>
  <si>
    <t>3.2.2 - Económicos</t>
  </si>
  <si>
    <t>Benef./Capital Agr. s/tierra</t>
  </si>
  <si>
    <t>3.2.2.1 - Ganaderos</t>
  </si>
  <si>
    <t>Benef./EH</t>
  </si>
  <si>
    <t>Benef./Capital fundiario</t>
  </si>
  <si>
    <t>$/VT</t>
  </si>
  <si>
    <t>$/l</t>
  </si>
  <si>
    <t>$/kg GB</t>
  </si>
  <si>
    <t>Valor bruto producción (leche y carne derivada)</t>
  </si>
  <si>
    <t>lt/VO-día</t>
  </si>
  <si>
    <t>$/litro de leche vendida</t>
  </si>
  <si>
    <t>$/cab.</t>
  </si>
  <si>
    <t xml:space="preserve">$/kg </t>
  </si>
  <si>
    <t xml:space="preserve">$/cab. </t>
  </si>
  <si>
    <t>$/kg. producido</t>
  </si>
  <si>
    <t>3.2.2.2 - Agrícolas</t>
  </si>
  <si>
    <t>Gastos directos/Sup. Agrícola</t>
  </si>
  <si>
    <t>Precio obtenido</t>
  </si>
  <si>
    <t>$/qq</t>
  </si>
  <si>
    <t>$/ha totales agricolas</t>
  </si>
  <si>
    <t>$/ha efectiva agricola</t>
  </si>
  <si>
    <t>RESUMENES PARA IMPRESIÓN</t>
  </si>
  <si>
    <t>2.1 - USO DEL SUELO y  BALANCE FORRAJERO TAMBO</t>
  </si>
  <si>
    <t>3.2 - GASTOS DIRECTOS INVERNADA</t>
  </si>
  <si>
    <t xml:space="preserve">3.1 - GASTOS DIRECTOS TAMBO Y COSTO PRODUCCIÓN </t>
  </si>
  <si>
    <r>
      <t>4</t>
    </r>
    <r>
      <rPr>
        <b/>
        <sz val="11"/>
        <rFont val="Arial"/>
        <family val="2"/>
      </rPr>
      <t xml:space="preserve"> . GASTOS DE ESTRUCTURA</t>
    </r>
  </si>
  <si>
    <r>
      <t>5</t>
    </r>
    <r>
      <rPr>
        <b/>
        <sz val="11"/>
        <rFont val="Arial"/>
        <family val="2"/>
      </rPr>
      <t xml:space="preserve"> - RESULTADOS ECONOMICOS</t>
    </r>
  </si>
  <si>
    <r>
      <t>6</t>
    </r>
    <r>
      <rPr>
        <b/>
        <sz val="11"/>
        <rFont val="Arial"/>
        <family val="2"/>
      </rPr>
      <t xml:space="preserve"> - RECURSOS DE LA ORGANIZACIÓN</t>
    </r>
  </si>
  <si>
    <r>
      <t>8</t>
    </r>
    <r>
      <rPr>
        <b/>
        <sz val="11"/>
        <rFont val="Arial"/>
        <family val="2"/>
      </rPr>
      <t xml:space="preserve"> - INDICADORES DE EFICIENCIA </t>
    </r>
  </si>
  <si>
    <t>8.2 - Indicadores de la Tecnología Productiva</t>
  </si>
  <si>
    <t>8.3 - Indicadores de la Productividad</t>
  </si>
  <si>
    <t>INDICADORES FÍSICOS POR CULTIVO</t>
  </si>
  <si>
    <t>I.c. - INDICADORES FISICOS GENERALES</t>
  </si>
  <si>
    <t>I.e.- INDICADORES DE PRODUCCION Y PRODUCTIVIDAD</t>
  </si>
  <si>
    <t>Sup. Efectiva</t>
  </si>
  <si>
    <t>EGRESOS  GANADEROS - ACTIVIDAD INVERNADA</t>
  </si>
  <si>
    <t>EGRESOS  GANADEROS - ACTIVIDAD TAMBO</t>
  </si>
  <si>
    <t>8.1 - Indicadores de la Organización</t>
  </si>
  <si>
    <t>2.1 - TECNICOS</t>
  </si>
  <si>
    <t>3.1 - TECNICOS</t>
  </si>
  <si>
    <t>MES12</t>
  </si>
  <si>
    <t>DIF INV</t>
  </si>
  <si>
    <t>Hectareas</t>
  </si>
  <si>
    <t xml:space="preserve">Tpo. Ocupación </t>
  </si>
  <si>
    <t>Rendimiento</t>
  </si>
  <si>
    <t>Inten.maq</t>
  </si>
  <si>
    <t>Sup Efectiva</t>
  </si>
  <si>
    <t>%sup</t>
  </si>
  <si>
    <t>Superficie Util  (ha)</t>
  </si>
  <si>
    <t>Edad promedio equipos (años)</t>
  </si>
  <si>
    <r>
      <t>1.a</t>
    </r>
    <r>
      <rPr>
        <b/>
        <sz val="10"/>
        <rFont val="Arial"/>
        <family val="2"/>
      </rPr>
      <t xml:space="preserve"> - EXISTENCIA DE GANADO </t>
    </r>
  </si>
  <si>
    <t>INGRESOS TAMBO</t>
  </si>
  <si>
    <t>6.1 - Composición del Capital</t>
  </si>
  <si>
    <t>1.1. TECNICOS</t>
  </si>
  <si>
    <t>2.1.1 - Ganaderos</t>
  </si>
  <si>
    <t>3.1.1 - Ganaderos</t>
  </si>
  <si>
    <t>KG TOTALES</t>
  </si>
  <si>
    <t>Kg/ha</t>
  </si>
  <si>
    <t>Superficie efectiva agrícola (ha)</t>
  </si>
  <si>
    <t>Praderas tambo (%)</t>
  </si>
  <si>
    <t>anual</t>
  </si>
  <si>
    <t>Categorías</t>
  </si>
  <si>
    <t>Exist.</t>
  </si>
  <si>
    <t xml:space="preserve">   Ventas  de leche</t>
  </si>
  <si>
    <t>Superficie efectiva ganadera (ha)</t>
  </si>
  <si>
    <t>Praderas ganaderia (%)</t>
  </si>
  <si>
    <t>Ventas - Compras (kg)</t>
  </si>
  <si>
    <t>prom.</t>
  </si>
  <si>
    <t>Inventario</t>
  </si>
  <si>
    <t>INVERN.PROPIA</t>
  </si>
  <si>
    <t xml:space="preserve">   Ventas netas de carne</t>
  </si>
  <si>
    <t>Incorporacion hac</t>
  </si>
  <si>
    <t xml:space="preserve">    $/año</t>
  </si>
  <si>
    <t>Valor de la Tierra con mejoras ($/ha)</t>
  </si>
  <si>
    <t>Diferencia Inventario (kg)</t>
  </si>
  <si>
    <t xml:space="preserve">   Diferencia inventario ganado</t>
  </si>
  <si>
    <t>Has efectivas tambo</t>
  </si>
  <si>
    <t>Has efectivas invernada</t>
  </si>
  <si>
    <t xml:space="preserve">Tracción (Hp/ha) </t>
  </si>
  <si>
    <t>Producción carne (kg)</t>
  </si>
  <si>
    <t>INGRESOS INVERNADA</t>
  </si>
  <si>
    <t>Unidades Animales Totales (cabezas)</t>
  </si>
  <si>
    <t>Producción carne (kg/ha tambo)</t>
  </si>
  <si>
    <t>Consumo concentrados (kg/cab tot)</t>
  </si>
  <si>
    <t>Producción leche (litros)</t>
  </si>
  <si>
    <t xml:space="preserve">                               (kg/kg produc)</t>
  </si>
  <si>
    <t>Sup.efectiva praderas</t>
  </si>
  <si>
    <t>Carga</t>
  </si>
  <si>
    <t>Producción leche (Kg GB)</t>
  </si>
  <si>
    <t>Eficiencia de stock</t>
  </si>
  <si>
    <t>Sup.efectiva verdeos</t>
  </si>
  <si>
    <t>INGRESOS AGRICULTURA</t>
  </si>
  <si>
    <t xml:space="preserve">INDICADORES FISICOS Y DE MANEJO </t>
  </si>
  <si>
    <t>Producción leche (litros/día)</t>
  </si>
  <si>
    <t>Product. mano de obra (cab/EH)</t>
  </si>
  <si>
    <t>Sup.efectiva silo</t>
  </si>
  <si>
    <t>3.1.2 - Agrícolas</t>
  </si>
  <si>
    <t>Lts/VO-día</t>
  </si>
  <si>
    <t>Sup.efectiva grano humedo</t>
  </si>
  <si>
    <t>TOTAL Egresos  Ganaderos Invernada</t>
  </si>
  <si>
    <t>6.2 - Otros recursos disponibles</t>
  </si>
  <si>
    <t>COMPRAS</t>
  </si>
  <si>
    <t>Superficie efectiva tambo (ha)</t>
  </si>
  <si>
    <t>Superficie efectiva invernada (ha)</t>
  </si>
  <si>
    <t>Lts/VT-día</t>
  </si>
  <si>
    <t>Kg vendidos hacienda propia</t>
  </si>
  <si>
    <t>Sup.efectiva rastrojos</t>
  </si>
  <si>
    <t>Leche consumida (l)</t>
  </si>
  <si>
    <t>Kg vendidos hacienda capitaliz.</t>
  </si>
  <si>
    <t>Sup.efectiva campo natural</t>
  </si>
  <si>
    <t>Sup.efectiva agrícola (ha)</t>
  </si>
  <si>
    <t xml:space="preserve">Vacas totales </t>
  </si>
  <si>
    <t>Leche vendida(l)</t>
  </si>
  <si>
    <t>Existencias promedio en kg</t>
  </si>
  <si>
    <t>INDICADORES ECONÓMICOS POR CULTIVO/HA</t>
  </si>
  <si>
    <t>Carga animal</t>
  </si>
  <si>
    <t>Total cabezas propias</t>
  </si>
  <si>
    <t>Producción leche/VT (litros anuales)</t>
  </si>
  <si>
    <t xml:space="preserve">  Confección silos</t>
  </si>
  <si>
    <t>Precio Venta</t>
  </si>
  <si>
    <t>Herbicidas</t>
  </si>
  <si>
    <t>Insecticidas</t>
  </si>
  <si>
    <t>Nro de Aplicaciones</t>
  </si>
  <si>
    <t>VO/VT</t>
  </si>
  <si>
    <t>Total cabezas capitalización</t>
  </si>
  <si>
    <t>Producción leche/VO (litros anuales)</t>
  </si>
  <si>
    <t xml:space="preserve">  Confección rollos</t>
  </si>
  <si>
    <t>1.2 - ECONOMICOS</t>
  </si>
  <si>
    <t>Descarte Vientres</t>
  </si>
  <si>
    <t>Prod.leche (l/ha tambo)</t>
  </si>
  <si>
    <t xml:space="preserve">  Confección fardos</t>
  </si>
  <si>
    <t>TOTAL Egresos  Ganaderos Tambo</t>
  </si>
  <si>
    <t>Tasa de extraccion en Kg</t>
  </si>
  <si>
    <t>Prod.leche (kg GB/ha tambo)</t>
  </si>
  <si>
    <t>CAPITAL HACIENDA ($):</t>
  </si>
  <si>
    <t>kg/ha</t>
  </si>
  <si>
    <t>Producción leche equiv.carne (litros)</t>
  </si>
  <si>
    <t xml:space="preserve">  Compra de heno</t>
  </si>
  <si>
    <t>Producción leche total  (litros)</t>
  </si>
  <si>
    <r>
      <t>1.b.</t>
    </r>
    <r>
      <rPr>
        <b/>
        <sz val="10"/>
        <rFont val="Arial"/>
        <family val="2"/>
      </rPr>
      <t xml:space="preserve">- COMPRAS Y VENTAS DE GANADO  </t>
    </r>
  </si>
  <si>
    <t xml:space="preserve">  Compra de silo</t>
  </si>
  <si>
    <t>VALOR DE LA PRODUCCION</t>
  </si>
  <si>
    <t>% pariciones</t>
  </si>
  <si>
    <t>Invernada Propia</t>
  </si>
  <si>
    <t>Durac.Meses</t>
  </si>
  <si>
    <t>GDPV</t>
  </si>
  <si>
    <t>Prod.leche total (l/ha tambo)</t>
  </si>
  <si>
    <t>GASTOS  DIRECTOS TOTALES</t>
  </si>
  <si>
    <t>Intervalo entre partos (meses)</t>
  </si>
  <si>
    <t>Consumo concentrados VT (kg)</t>
  </si>
  <si>
    <t>VENTAS ANUALES</t>
  </si>
  <si>
    <t>Cabezas</t>
  </si>
  <si>
    <t>Duración lactancia promedio (días)</t>
  </si>
  <si>
    <t>Gramos concentrados/litro leche</t>
  </si>
  <si>
    <t>1.3 - RENTABILIDAD</t>
  </si>
  <si>
    <t>2.1.2 - Agrícolas</t>
  </si>
  <si>
    <t>Kg de concetrado/VT</t>
  </si>
  <si>
    <t>Gastos Directos INVERNADA</t>
  </si>
  <si>
    <t>Margen sobre Conc.Vaca(l/VO-día)</t>
  </si>
  <si>
    <t>Gastos Directos TAMBO</t>
  </si>
  <si>
    <t>Invernada capitalización</t>
  </si>
  <si>
    <t>Mano obra ordeño (EH)</t>
  </si>
  <si>
    <t xml:space="preserve"> Forrajes</t>
  </si>
  <si>
    <t>Productividad MO ordeño (litros-día/EH)</t>
  </si>
  <si>
    <t xml:space="preserve"> Grano Humedo</t>
  </si>
  <si>
    <t>2.2 - ECONOMICOS</t>
  </si>
  <si>
    <t>Existencia prom invernad</t>
  </si>
  <si>
    <t>Crianza de terneros</t>
  </si>
  <si>
    <t>Productividad MO ordeño (VO/EH)</t>
  </si>
  <si>
    <t xml:space="preserve"> Reservas</t>
  </si>
  <si>
    <t>2.2.1 - Ganaderos</t>
  </si>
  <si>
    <t xml:space="preserve">      Sistema</t>
  </si>
  <si>
    <t>Productividad MO ordeño (kg GB/EH)</t>
  </si>
  <si>
    <t>Sanidad</t>
  </si>
  <si>
    <t xml:space="preserve"> Concentrados</t>
  </si>
  <si>
    <t>8. 2 - Indicadores de la Tecnología Productiva</t>
  </si>
  <si>
    <t xml:space="preserve">     Alimentación</t>
  </si>
  <si>
    <t>Mano obra Total (EH)</t>
  </si>
  <si>
    <t>Tasa de extracción (en kg)</t>
  </si>
  <si>
    <t>Productividad MOT (HaGanad/EH)</t>
  </si>
  <si>
    <t>Sanidad y reproducción</t>
  </si>
  <si>
    <t>INDICADORES ECONÓMICOS GLOBALES POR CULTIVO</t>
  </si>
  <si>
    <t>TOTAL GASTOS DIRECTOS</t>
  </si>
  <si>
    <t>Gastos de ordeño</t>
  </si>
  <si>
    <t>G.Herbicidas</t>
  </si>
  <si>
    <t>INDICADORES ECONOMICOS</t>
  </si>
  <si>
    <t>Gastos directos/kg carne producido</t>
  </si>
  <si>
    <t xml:space="preserve"> Mano de obra </t>
  </si>
  <si>
    <t xml:space="preserve"> Varios</t>
  </si>
  <si>
    <t>% particip</t>
  </si>
  <si>
    <t>Precio Kg GB ($/Kg GB)</t>
  </si>
  <si>
    <t>Precio de venta H.Propia ($/kg)</t>
  </si>
  <si>
    <r>
      <t>7</t>
    </r>
    <r>
      <rPr>
        <b/>
        <sz val="11"/>
        <rFont val="Arial"/>
        <family val="2"/>
      </rPr>
      <t xml:space="preserve"> - INDICADORES GLOBALES</t>
    </r>
  </si>
  <si>
    <t>Precio leche ($/l)</t>
  </si>
  <si>
    <t>Relación precio cpra/precio venta</t>
  </si>
  <si>
    <t>Edad de vaquillonas al 1er.servicio (meses)</t>
  </si>
  <si>
    <t>Produc.leche valorizada ($)</t>
  </si>
  <si>
    <t>Precio de venta H.Capitaliz. ($/kg)</t>
  </si>
  <si>
    <t>Composición porcentual de los gastos</t>
  </si>
  <si>
    <t>Peso de vaquillonas al 1er.servicio (kg)</t>
  </si>
  <si>
    <t>Ingresos por venta de leche ($)</t>
  </si>
  <si>
    <t>INGRESO TOTAL ($/año)</t>
  </si>
  <si>
    <t xml:space="preserve">Gastos directos </t>
  </si>
  <si>
    <t>% sobre GDT</t>
  </si>
  <si>
    <t xml:space="preserve">%  sobre  Precio </t>
  </si>
  <si>
    <t>Ventas netas de carne ($)</t>
  </si>
  <si>
    <t>Margen Bruto ($/ha)</t>
  </si>
  <si>
    <t>COMPRAS ANUALES</t>
  </si>
  <si>
    <t>GASTOS  ESTRUCTURA TOTAL</t>
  </si>
  <si>
    <t>INDICADORES FÍSICOS DE AGRICULTURA</t>
  </si>
  <si>
    <t xml:space="preserve">                      ($/cab tot)</t>
  </si>
  <si>
    <t xml:space="preserve">       G.Estructura/G.Totales</t>
  </si>
  <si>
    <t xml:space="preserve">                      ($/litros vendidos)</t>
  </si>
  <si>
    <t xml:space="preserve">                      ($/kg producido)</t>
  </si>
  <si>
    <t>Mano de obra</t>
  </si>
  <si>
    <t xml:space="preserve">                      ($/vaca total)</t>
  </si>
  <si>
    <t>Otros</t>
  </si>
  <si>
    <t>AGRICULTURA</t>
  </si>
  <si>
    <t>COSTO DE PRODUCCIÓN DE LECHE</t>
  </si>
  <si>
    <t>INGRESO NETO</t>
  </si>
  <si>
    <t>$/lt</t>
  </si>
  <si>
    <t>RETRIBUCION EMPRESARIO</t>
  </si>
  <si>
    <t xml:space="preserve">              </t>
  </si>
  <si>
    <t>Gastos Directos</t>
  </si>
  <si>
    <t>RESULTADO FUERA DE LA EXPLOTACION</t>
  </si>
  <si>
    <t>Indicadores de productividad</t>
  </si>
  <si>
    <t>Gastos de Estructura sin arrendam.</t>
  </si>
  <si>
    <t>Arrendamiento</t>
  </si>
  <si>
    <t>RESULTADO DE LA EMPRESA</t>
  </si>
  <si>
    <t>Rebribución al Empresario</t>
  </si>
  <si>
    <t>Amortizaciones</t>
  </si>
  <si>
    <t>Intereses</t>
  </si>
  <si>
    <t>2.2.2 - Agrícolas</t>
  </si>
  <si>
    <t>COMPOSICION ACTIVO</t>
  </si>
  <si>
    <t>Recupero (Prod carne valorizada)</t>
  </si>
  <si>
    <t>Ganado</t>
  </si>
  <si>
    <t>2.2  - USO DEL SUELO y BALANCE FORRAJERO INVERNADA</t>
  </si>
  <si>
    <t>COSTO DE PRODUCCIÓN A CORTO PLAZO - $/lt</t>
  </si>
  <si>
    <t>Capital Circulante</t>
  </si>
  <si>
    <t xml:space="preserve">                    Total Activo Promedio</t>
  </si>
  <si>
    <t>COSTO DE PRODUCCIÓN A MEDIANO PLAZO - $/lt</t>
  </si>
  <si>
    <t>Intereses sobre Activos</t>
  </si>
  <si>
    <t>Incorporaciones Capital</t>
  </si>
  <si>
    <t>COSTO DE PRODUCCIÓN A LARGO PLAZO - $/lt</t>
  </si>
  <si>
    <t>$/mes</t>
  </si>
  <si>
    <t>Gastos totales  excepto MO</t>
  </si>
  <si>
    <t>Retiros a c/ utilidades</t>
  </si>
  <si>
    <t>PRECIO DE EQUILIBRIO - $/lt</t>
  </si>
  <si>
    <t>Retribución empresario</t>
  </si>
  <si>
    <t>(CPM + Retiros a c/ utilidades)</t>
  </si>
  <si>
    <t>Cultivos</t>
  </si>
  <si>
    <t>Costos Fijos</t>
  </si>
  <si>
    <t xml:space="preserve">  Labores</t>
  </si>
  <si>
    <t xml:space="preserve">  Insumos</t>
  </si>
  <si>
    <t xml:space="preserve">  Riego</t>
  </si>
  <si>
    <t xml:space="preserve">  Otros </t>
  </si>
  <si>
    <t xml:space="preserve">  Cosecha</t>
  </si>
  <si>
    <t xml:space="preserve">  Comercialización</t>
  </si>
  <si>
    <t xml:space="preserve">  Aparcería</t>
  </si>
  <si>
    <t xml:space="preserve">Total costos Directos </t>
  </si>
  <si>
    <t xml:space="preserve">  Otros</t>
  </si>
  <si>
    <t>DATOS DE LA EMPRESA</t>
  </si>
  <si>
    <t>Cantidad</t>
  </si>
  <si>
    <t>AñoFab/Edad</t>
  </si>
  <si>
    <t>Tamaño/capacidad</t>
  </si>
  <si>
    <t>ANUALES</t>
  </si>
  <si>
    <t>Concentrados</t>
  </si>
  <si>
    <t>Tipo</t>
  </si>
  <si>
    <t>Origen</t>
  </si>
  <si>
    <t>Kg/día</t>
  </si>
  <si>
    <t>Días/año</t>
  </si>
  <si>
    <t>Costo</t>
  </si>
  <si>
    <t>Moha</t>
  </si>
  <si>
    <t>Sorgo forrajero</t>
  </si>
  <si>
    <t>Empresa donde entrega la producción</t>
  </si>
  <si>
    <t>% comercializ.</t>
  </si>
  <si>
    <t>Silo Maiz</t>
  </si>
  <si>
    <t>Lote Nro.</t>
  </si>
  <si>
    <t>Leche Vendida</t>
  </si>
  <si>
    <t>Litros</t>
  </si>
  <si>
    <t>kg GB</t>
  </si>
  <si>
    <t>Silo Sorgo</t>
  </si>
  <si>
    <t>Labores propias</t>
  </si>
  <si>
    <t>Nro Pasadas</t>
  </si>
  <si>
    <t>Enero</t>
  </si>
  <si>
    <t>Silo pasturas</t>
  </si>
  <si>
    <t>Febrero</t>
  </si>
  <si>
    <t>Avena</t>
  </si>
  <si>
    <t>Marzo</t>
  </si>
  <si>
    <t xml:space="preserve">     Novillitos</t>
  </si>
  <si>
    <t xml:space="preserve">                   Nacionales</t>
  </si>
  <si>
    <t>Abril</t>
  </si>
  <si>
    <t>Rastrojo</t>
  </si>
  <si>
    <t xml:space="preserve">     Novillos</t>
  </si>
  <si>
    <t>Mayo</t>
  </si>
  <si>
    <t>Novillitos/os</t>
  </si>
  <si>
    <t>Junio</t>
  </si>
  <si>
    <t>Campo natural</t>
  </si>
  <si>
    <t>Julio</t>
  </si>
  <si>
    <t>Cant/ha</t>
  </si>
  <si>
    <t>$/unid</t>
  </si>
  <si>
    <t>Labores contratadas</t>
  </si>
  <si>
    <t>Costo/ha</t>
  </si>
  <si>
    <t>INCORPORACIONES DEL AÑO .........</t>
  </si>
  <si>
    <t>Agosto</t>
  </si>
  <si>
    <t xml:space="preserve">Cultivo </t>
  </si>
  <si>
    <t>Reservas propias</t>
  </si>
  <si>
    <t>Rollos/año</t>
  </si>
  <si>
    <t>Fardos/año</t>
  </si>
  <si>
    <t>Propio/cpra</t>
  </si>
  <si>
    <t>Setiembre</t>
  </si>
  <si>
    <t>Octubre</t>
  </si>
  <si>
    <t>Noviembre</t>
  </si>
  <si>
    <t xml:space="preserve">SUPERFICIE </t>
  </si>
  <si>
    <t>jaula</t>
  </si>
  <si>
    <t>estaca</t>
  </si>
  <si>
    <t>días de suminstro</t>
  </si>
  <si>
    <t>MEJORAS</t>
  </si>
  <si>
    <t>Estado</t>
  </si>
  <si>
    <t>Observaciones</t>
  </si>
  <si>
    <t>EXISTENCIA DE HACIENDA</t>
  </si>
  <si>
    <t>FAMILIAR</t>
  </si>
  <si>
    <t>Tipo A (m)</t>
  </si>
  <si>
    <t>INGRESOS Y EGRESOS FUERA DE LA EXPLOTACIÓN *</t>
  </si>
  <si>
    <t>Mortandad jóvenes (%)</t>
  </si>
  <si>
    <t>($/año)</t>
  </si>
  <si>
    <t>Mortandad adultos Tbo(%)</t>
  </si>
  <si>
    <t>% de comercialización</t>
  </si>
  <si>
    <t>Venta</t>
  </si>
  <si>
    <t>Compra</t>
  </si>
  <si>
    <t>* Los egresoso llevan el signo negativo y los ingresos signo positivo</t>
  </si>
  <si>
    <t>Desmalezadas/año</t>
  </si>
  <si>
    <t>RIEGO ($/HA*mm apl)</t>
  </si>
  <si>
    <t>Lab.contratadas</t>
  </si>
  <si>
    <t>ALQUILER ($/HA)</t>
  </si>
  <si>
    <t>INVERNADA PROPIA</t>
  </si>
  <si>
    <t xml:space="preserve">  Usa registros reproductivos</t>
  </si>
  <si>
    <t>Retiros a cuenta de utilidades - $/MES</t>
  </si>
  <si>
    <t xml:space="preserve">  % de pariciones</t>
  </si>
  <si>
    <t>*Higiene  tambo</t>
  </si>
  <si>
    <t>*Energía eléctrica ordeño</t>
  </si>
  <si>
    <t>*Control lechero</t>
  </si>
  <si>
    <t>$/VO-mes</t>
  </si>
  <si>
    <t>Labores propias + contratadas</t>
  </si>
  <si>
    <t>*Mantenimiento equipos ordeño</t>
  </si>
  <si>
    <t>INVERNADA TOMADA EN CAPITALIZACIÓN</t>
  </si>
  <si>
    <t>Precio Bruto ($/QQ)</t>
  </si>
  <si>
    <t>*Sanidad - Prod. Vet. + Honorarios</t>
  </si>
  <si>
    <t>*Reproducción (cual?)</t>
  </si>
  <si>
    <t xml:space="preserve">   Novillitos/os</t>
  </si>
  <si>
    <t>*Gastos en comercialización y transporte (Vta de carne)</t>
  </si>
  <si>
    <t xml:space="preserve">   Vaquillonas</t>
  </si>
  <si>
    <t xml:space="preserve">   Vacas</t>
  </si>
  <si>
    <t>Duración Invenada (meses)</t>
  </si>
  <si>
    <t>Capitalización</t>
  </si>
  <si>
    <t>Capitalizac.</t>
  </si>
  <si>
    <t>DATOS DEL ASESOR</t>
  </si>
  <si>
    <t>IV.1 -  RESULTADOS ECONÓMICOS DE LAS ACTIVIDADES y RANKING DE ACTIVIDADES</t>
  </si>
  <si>
    <t>xxxxxxxxxxx</t>
  </si>
  <si>
    <t>EDAD</t>
  </si>
  <si>
    <t>DEDICACION</t>
  </si>
  <si>
    <t>(AÑOS)</t>
  </si>
  <si>
    <t>Hs./SEMANA</t>
  </si>
  <si>
    <t>PRODUCTOR</t>
  </si>
  <si>
    <t>ESPOSA</t>
  </si>
  <si>
    <t>HIJOS</t>
  </si>
  <si>
    <t>OTROS</t>
  </si>
  <si>
    <t>TAMBERO</t>
  </si>
  <si>
    <t>MEDIERO</t>
  </si>
  <si>
    <t>ENCARGADO</t>
  </si>
  <si>
    <t>PEON GENERAL</t>
  </si>
  <si>
    <t>TRACTORISTA</t>
  </si>
  <si>
    <t>TOTAL EQUIVALENTES HOMBRE AFECTADO A LA EMPRESA</t>
  </si>
  <si>
    <t>Asignación de la mano de obra</t>
  </si>
  <si>
    <t>AL GERENCIAMIENTO</t>
  </si>
  <si>
    <t>TAREAS GENERALES</t>
  </si>
  <si>
    <t>EMPRESARIOS</t>
  </si>
  <si>
    <t>PERSONAL CONTRATADO</t>
  </si>
  <si>
    <t>ACTIVIDAD A LA QUE SE DEDICA</t>
  </si>
  <si>
    <t>TIPO DE MANO DE OBRA</t>
  </si>
  <si>
    <t>IDENTIFICACION</t>
  </si>
  <si>
    <t>EQUIVALENTE HOMBRE</t>
  </si>
  <si>
    <t>GERENCIAMIENTO</t>
  </si>
  <si>
    <t>En función de la actividad que realizan</t>
  </si>
  <si>
    <t>En función del tipo de mano de obra</t>
  </si>
  <si>
    <t>Familiar</t>
  </si>
  <si>
    <t>Contratada</t>
  </si>
  <si>
    <t>HIJO</t>
  </si>
  <si>
    <t>SOBRINO</t>
  </si>
  <si>
    <t>....................</t>
  </si>
  <si>
    <t>.................</t>
  </si>
  <si>
    <t xml:space="preserve">  Tambero Mediero </t>
  </si>
  <si>
    <t xml:space="preserve">  Personal  contratado</t>
  </si>
  <si>
    <t xml:space="preserve">  Familiar</t>
  </si>
  <si>
    <t>Mano de obra tambo</t>
  </si>
  <si>
    <t>Mano de obra invernada</t>
  </si>
  <si>
    <t>Mano de obra agricultura</t>
  </si>
  <si>
    <t xml:space="preserve">Precio de venta del kg GB </t>
  </si>
  <si>
    <t>Precio de venta de la leche</t>
  </si>
  <si>
    <t>Superficie: propia utilizable (ha)</t>
  </si>
  <si>
    <t xml:space="preserve">Propia no utilizable (ha)  </t>
  </si>
  <si>
    <t>Arrendada utilizable (ha)</t>
  </si>
  <si>
    <t>Arrendada no utilizable (ha) (mejoras, lagunas, etc.)</t>
  </si>
  <si>
    <t>I.P. Tierra</t>
  </si>
  <si>
    <t>Tierra A</t>
  </si>
  <si>
    <t>Tierra B</t>
  </si>
  <si>
    <t>Asesoramiento técnico</t>
  </si>
  <si>
    <t>Asesoramiento contable</t>
  </si>
  <si>
    <t>XXXXX</t>
  </si>
  <si>
    <t>XXX</t>
  </si>
  <si>
    <t>Pulverizaciones aéreas</t>
  </si>
  <si>
    <t>…………….....</t>
  </si>
  <si>
    <t>3.2 - ECONOMICOS</t>
  </si>
  <si>
    <t>GANADEROS TOTALES</t>
  </si>
  <si>
    <t>3.3 - RESUMEN AGRICULTURA</t>
  </si>
  <si>
    <t>(meses)</t>
  </si>
  <si>
    <t>Superficie efectiva</t>
  </si>
  <si>
    <t>(Ha)</t>
  </si>
  <si>
    <t>% Sup. /Sup. Total</t>
  </si>
  <si>
    <t>% Sup./</t>
  </si>
  <si>
    <t>(qq/ha)</t>
  </si>
  <si>
    <t>Item. Maq.</t>
  </si>
  <si>
    <t>(Kg./ha)</t>
  </si>
  <si>
    <t>(ha)</t>
  </si>
  <si>
    <t xml:space="preserve">Superficie </t>
  </si>
  <si>
    <t>Indicadores Físicos por Cultivo</t>
  </si>
  <si>
    <t>Indicadores Económicos por Cultivo</t>
  </si>
  <si>
    <t>Precio de venta ($/qq)</t>
  </si>
  <si>
    <t>Ingreso Bruto ($/ha)</t>
  </si>
  <si>
    <t>Recría de vaquillonas</t>
  </si>
  <si>
    <t>Superficie propia arrendada a terceros</t>
  </si>
  <si>
    <t>.............</t>
  </si>
  <si>
    <t>...............</t>
  </si>
  <si>
    <t>Cuadro Nº 3: Continuación de maquinarias y mano de obra</t>
  </si>
  <si>
    <t>CUADRO N º 2: Maquinarias</t>
  </si>
  <si>
    <t>CUADRO Nº 1: Datos Generales</t>
  </si>
  <si>
    <t xml:space="preserve">Cuadro Nº 4: Gastos de estructura </t>
  </si>
  <si>
    <t>Mantenimiento vehículos*</t>
  </si>
  <si>
    <t>Combustibles vehículo</t>
  </si>
  <si>
    <t>Seguros vehículo</t>
  </si>
  <si>
    <t>Patentes vehículo</t>
  </si>
  <si>
    <t>Impuestos</t>
  </si>
  <si>
    <t xml:space="preserve">                   Provinciales</t>
  </si>
  <si>
    <t xml:space="preserve">                   Municipales</t>
  </si>
  <si>
    <t>Gastos generales</t>
  </si>
  <si>
    <t>Energía eléctrica</t>
  </si>
  <si>
    <t>Agua</t>
  </si>
  <si>
    <t>Personal dedicado a tareas generales</t>
  </si>
  <si>
    <t>Administración (gastos de oficina,  teléfono, etc.)</t>
  </si>
  <si>
    <t>Arrendamiento agrícola ($/ha/mes)</t>
  </si>
  <si>
    <t>Arrendamiento tambo ($/ha/mes)</t>
  </si>
  <si>
    <t>Arrendamiento ganadería ($/ha/mes)</t>
  </si>
  <si>
    <t>* Solo vehículos afectados al uso general de la empresa, no de uso familiar.</t>
  </si>
  <si>
    <t xml:space="preserve">En caso de ser utilizado el mismo vehículo, computar el % de tiempo utilizado para </t>
  </si>
  <si>
    <t>tareas de la empresa.</t>
  </si>
  <si>
    <t>Diciembre</t>
  </si>
  <si>
    <t>kg PB</t>
  </si>
  <si>
    <t>$ (importe total mensual)</t>
  </si>
  <si>
    <t>Cuadro Nº 5: Tecnología aplicada</t>
  </si>
  <si>
    <t>Costo de implantación*</t>
  </si>
  <si>
    <t>Costo de mantenimiento</t>
  </si>
  <si>
    <t xml:space="preserve">  Base alfalfa                      1er año</t>
  </si>
  <si>
    <t>Base festuca                      1er año</t>
  </si>
  <si>
    <t>Otra Pastura                       1er año</t>
  </si>
  <si>
    <t>Costo de confección de silos</t>
  </si>
  <si>
    <t>Costo de confección de rollos</t>
  </si>
  <si>
    <t>$/Ha</t>
  </si>
  <si>
    <t xml:space="preserve">Cuadro Nº 6: Cultivos forrajeros </t>
  </si>
  <si>
    <t xml:space="preserve">Cuadro Nº 7: Cultivos forrajeros </t>
  </si>
  <si>
    <t xml:space="preserve">Cuadro Nº 7: Suplementación y existencia </t>
  </si>
  <si>
    <t>Total concentrados (Kg)</t>
  </si>
  <si>
    <t xml:space="preserve">Cuadro Nº 8: Compras y vetas de ganado </t>
  </si>
  <si>
    <t>Cuadro Nº 9: Agricultura</t>
  </si>
  <si>
    <t>ANEXOS</t>
  </si>
  <si>
    <t>ANEXO_Cuadro N° 1: Costo de implantación de pasturas y verdeos_Tambo</t>
  </si>
  <si>
    <t>ANEXO_Cuadro N° 2: Costo de implantación de pasturas y verdeos_Invernada</t>
  </si>
  <si>
    <t>Retribución</t>
  </si>
  <si>
    <t>* especificar si el valor es por mes, por año, por hora o por ejemplo en el tambero mediero %</t>
  </si>
  <si>
    <t xml:space="preserve">salarial* </t>
  </si>
  <si>
    <t xml:space="preserve">* En caso de no conocer el costo de implantación, puede calcularlo utilizando el cuadro Nº 1 que figura en el </t>
  </si>
  <si>
    <t>ANEXO</t>
  </si>
  <si>
    <t>* En caso de no conocer el costo de implantación, puede calcularlo utilizando el cuadro Nº 2 que figura en el</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</si>
</sst>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_)"/>
    <numFmt numFmtId="193" formatCode="#.##000"/>
    <numFmt numFmtId="194" formatCode="&quot;$&quot;#,#00"/>
    <numFmt numFmtId="195" formatCode="#,#00"/>
    <numFmt numFmtId="196" formatCode="%#,#00"/>
    <numFmt numFmtId="197" formatCode="0.00_)"/>
    <numFmt numFmtId="198" formatCode="0.0_)"/>
    <numFmt numFmtId="199" formatCode="0.000_)"/>
    <numFmt numFmtId="200" formatCode="0.0%"/>
    <numFmt numFmtId="201" formatCode="0.0000_)"/>
    <numFmt numFmtId="202" formatCode="0.0"/>
    <numFmt numFmtId="203" formatCode="0.0000"/>
    <numFmt numFmtId="204" formatCode=";;;"/>
    <numFmt numFmtId="205" formatCode="_(&quot;$&quot;* #,##0_);_(&quot;$&quot;* \(#,##0\);_(&quot;$&quot;* &quot;-&quot;??_);_(@_)"/>
    <numFmt numFmtId="206" formatCode="_(* #,##0_);_(* \(#,##0\);_(* &quot;-&quot;??_);_(@_)"/>
    <numFmt numFmtId="207" formatCode="_(* #,##0.00000_);_(* \(#,##0.00000\);_(* &quot;-&quot;??_);_(@_)"/>
    <numFmt numFmtId="208" formatCode="_(&quot;$&quot;* #,##0.0_);_(&quot;$&quot;* \(#,##0.0\);_(&quot;$&quot;* &quot;-&quot;??_);_(@_)"/>
    <numFmt numFmtId="209" formatCode="0.000"/>
    <numFmt numFmtId="210" formatCode="[$-80A]dddd\,\ dd&quot; de &quot;mmmm&quot; de &quot;yyyy"/>
    <numFmt numFmtId="211" formatCode="0.000000"/>
    <numFmt numFmtId="212" formatCode="0.00000"/>
    <numFmt numFmtId="213" formatCode="#,##0.0"/>
  </numFmts>
  <fonts count="123">
    <font>
      <sz val="12"/>
      <name val="Courier"/>
      <family val="0"/>
    </font>
    <font>
      <b/>
      <sz val="10"/>
      <name val="Arial"/>
      <family val="0"/>
    </font>
    <font>
      <i/>
      <sz val="10"/>
      <name val="Arial"/>
      <family val="0"/>
    </font>
    <font>
      <b/>
      <i/>
      <sz val="10"/>
      <name val="Arial"/>
      <family val="0"/>
    </font>
    <font>
      <sz val="10"/>
      <name val="Arial"/>
      <family val="2"/>
    </font>
    <font>
      <sz val="1"/>
      <color indexed="8"/>
      <name val="Courier"/>
      <family val="3"/>
    </font>
    <font>
      <u val="single"/>
      <sz val="1"/>
      <color indexed="8"/>
      <name val="Courier"/>
      <family val="3"/>
    </font>
    <font>
      <i/>
      <sz val="1"/>
      <color indexed="8"/>
      <name val="Courier"/>
      <family val="3"/>
    </font>
    <font>
      <b/>
      <sz val="1"/>
      <color indexed="8"/>
      <name val="Courier"/>
      <family val="3"/>
    </font>
    <font>
      <sz val="12"/>
      <name val="Times New Roman"/>
      <family val="1"/>
    </font>
    <font>
      <sz val="12"/>
      <color indexed="12"/>
      <name val="Times New Roman"/>
      <family val="1"/>
    </font>
    <font>
      <sz val="12"/>
      <name val="Arial"/>
      <family val="2"/>
    </font>
    <font>
      <sz val="10"/>
      <color indexed="8"/>
      <name val="Arial"/>
      <family val="2"/>
    </font>
    <font>
      <sz val="10"/>
      <color indexed="12"/>
      <name val="Arial"/>
      <family val="2"/>
    </font>
    <font>
      <sz val="10"/>
      <color indexed="9"/>
      <name val="Arial"/>
      <family val="2"/>
    </font>
    <font>
      <b/>
      <i/>
      <sz val="10"/>
      <color indexed="58"/>
      <name val="Arial"/>
      <family val="2"/>
    </font>
    <font>
      <sz val="10"/>
      <color indexed="58"/>
      <name val="Arial"/>
      <family val="2"/>
    </font>
    <font>
      <sz val="10"/>
      <color indexed="63"/>
      <name val="Arial"/>
      <family val="2"/>
    </font>
    <font>
      <b/>
      <i/>
      <sz val="10"/>
      <color indexed="8"/>
      <name val="Arial"/>
      <family val="2"/>
    </font>
    <font>
      <b/>
      <sz val="10"/>
      <name val="Comic Sans MS"/>
      <family val="4"/>
    </font>
    <font>
      <sz val="10"/>
      <color indexed="39"/>
      <name val="Arial"/>
      <family val="2"/>
    </font>
    <font>
      <sz val="10"/>
      <color indexed="48"/>
      <name val="Arial"/>
      <family val="2"/>
    </font>
    <font>
      <sz val="10"/>
      <color indexed="59"/>
      <name val="Arial"/>
      <family val="2"/>
    </font>
    <font>
      <b/>
      <sz val="10"/>
      <color indexed="8"/>
      <name val="Comic Sans MS"/>
      <family val="4"/>
    </font>
    <font>
      <b/>
      <sz val="10"/>
      <color indexed="8"/>
      <name val="Arial"/>
      <family val="2"/>
    </font>
    <font>
      <sz val="10"/>
      <color indexed="10"/>
      <name val="Arial"/>
      <family val="2"/>
    </font>
    <font>
      <b/>
      <u val="single"/>
      <sz val="10"/>
      <name val="Arial"/>
      <family val="2"/>
    </font>
    <font>
      <b/>
      <sz val="10"/>
      <color indexed="12"/>
      <name val="Comic Sans MS"/>
      <family val="4"/>
    </font>
    <font>
      <b/>
      <sz val="10"/>
      <color indexed="12"/>
      <name val="Arial"/>
      <family val="2"/>
    </font>
    <font>
      <b/>
      <sz val="12"/>
      <name val="Arial"/>
      <family val="2"/>
    </font>
    <font>
      <i/>
      <sz val="10"/>
      <color indexed="8"/>
      <name val="Arial"/>
      <family val="2"/>
    </font>
    <font>
      <b/>
      <sz val="9"/>
      <color indexed="8"/>
      <name val="Comic Sans MS"/>
      <family val="4"/>
    </font>
    <font>
      <b/>
      <sz val="9"/>
      <color indexed="8"/>
      <name val="Arial"/>
      <family val="2"/>
    </font>
    <font>
      <sz val="9"/>
      <name val="Arial"/>
      <family val="2"/>
    </font>
    <font>
      <b/>
      <i/>
      <sz val="9"/>
      <color indexed="8"/>
      <name val="Arial"/>
      <family val="2"/>
    </font>
    <font>
      <sz val="9"/>
      <color indexed="8"/>
      <name val="Arial"/>
      <family val="2"/>
    </font>
    <font>
      <sz val="11"/>
      <name val="Arial"/>
      <family val="2"/>
    </font>
    <font>
      <b/>
      <sz val="11"/>
      <name val="Arial"/>
      <family val="2"/>
    </font>
    <font>
      <b/>
      <i/>
      <sz val="11"/>
      <name val="Arial"/>
      <family val="2"/>
    </font>
    <font>
      <b/>
      <sz val="11"/>
      <name val="Comic Sans MS"/>
      <family val="4"/>
    </font>
    <font>
      <i/>
      <sz val="11"/>
      <name val="Arial"/>
      <family val="2"/>
    </font>
    <font>
      <sz val="16"/>
      <color indexed="8"/>
      <name val="Arial"/>
      <family val="2"/>
    </font>
    <font>
      <sz val="16"/>
      <name val="Arial"/>
      <family val="2"/>
    </font>
    <font>
      <i/>
      <sz val="11"/>
      <color indexed="8"/>
      <name val="Arial"/>
      <family val="2"/>
    </font>
    <font>
      <b/>
      <sz val="10"/>
      <color indexed="9"/>
      <name val="Arial"/>
      <family val="2"/>
    </font>
    <font>
      <b/>
      <i/>
      <sz val="10"/>
      <color indexed="21"/>
      <name val="Arial"/>
      <family val="2"/>
    </font>
    <font>
      <sz val="10"/>
      <color indexed="21"/>
      <name val="Arial"/>
      <family val="2"/>
    </font>
    <font>
      <b/>
      <sz val="9"/>
      <name val="Arial"/>
      <family val="2"/>
    </font>
    <font>
      <b/>
      <i/>
      <sz val="9"/>
      <name val="Arial"/>
      <family val="2"/>
    </font>
    <font>
      <sz val="12"/>
      <color indexed="17"/>
      <name val="Courier"/>
      <family val="3"/>
    </font>
    <font>
      <b/>
      <sz val="11"/>
      <color indexed="17"/>
      <name val="Arial"/>
      <family val="2"/>
    </font>
    <font>
      <b/>
      <sz val="10"/>
      <color indexed="17"/>
      <name val="Arial"/>
      <family val="2"/>
    </font>
    <font>
      <b/>
      <sz val="10"/>
      <color indexed="21"/>
      <name val="Arial"/>
      <family val="2"/>
    </font>
    <font>
      <sz val="11"/>
      <color indexed="10"/>
      <name val="Arial"/>
      <family val="2"/>
    </font>
    <font>
      <sz val="11"/>
      <color indexed="9"/>
      <name val="Arial"/>
      <family val="2"/>
    </font>
    <font>
      <b/>
      <sz val="9"/>
      <name val="Comic Sans MS"/>
      <family val="4"/>
    </font>
    <font>
      <b/>
      <i/>
      <sz val="9"/>
      <name val="Comic Sans MS"/>
      <family val="4"/>
    </font>
    <font>
      <u val="single"/>
      <sz val="9"/>
      <color indexed="12"/>
      <name val="Courier"/>
      <family val="3"/>
    </font>
    <font>
      <b/>
      <sz val="11"/>
      <color indexed="10"/>
      <name val="Arial"/>
      <family val="2"/>
    </font>
    <font>
      <b/>
      <sz val="10"/>
      <color indexed="10"/>
      <name val="Arial"/>
      <family val="2"/>
    </font>
    <font>
      <u val="single"/>
      <sz val="9"/>
      <color indexed="36"/>
      <name val="Courier"/>
      <family val="3"/>
    </font>
    <font>
      <sz val="12"/>
      <color indexed="12"/>
      <name val="Arial"/>
      <family val="2"/>
    </font>
    <font>
      <sz val="8"/>
      <name val="Tahoma"/>
      <family val="2"/>
    </font>
    <font>
      <sz val="11"/>
      <name val="Tahoma"/>
      <family val="2"/>
    </font>
    <font>
      <sz val="10"/>
      <name val="Tahoma"/>
      <family val="2"/>
    </font>
    <font>
      <b/>
      <sz val="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12"/>
      <color indexed="8"/>
      <name val="Courier"/>
      <family val="0"/>
    </font>
    <font>
      <b/>
      <sz val="40"/>
      <color indexed="62"/>
      <name val="Bookman Old Style"/>
      <family val="0"/>
    </font>
    <font>
      <b/>
      <sz val="14"/>
      <color indexed="54"/>
      <name val="Copperplate Gothic Light"/>
      <family val="0"/>
    </font>
    <font>
      <b/>
      <sz val="12"/>
      <color indexed="23"/>
      <name val="Copperplate Gothic Light"/>
      <family val="0"/>
    </font>
    <font>
      <b/>
      <sz val="10"/>
      <color indexed="63"/>
      <name val="Copperplate Gothic Light"/>
      <family val="0"/>
    </font>
    <font>
      <sz val="14"/>
      <color indexed="8"/>
      <name val="Courier"/>
      <family val="0"/>
    </font>
    <font>
      <sz val="10"/>
      <color indexed="8"/>
      <name val="Book Antiqua"/>
      <family val="0"/>
    </font>
    <font>
      <sz val="12"/>
      <color indexed="8"/>
      <name val="Arial"/>
      <family val="0"/>
    </font>
    <font>
      <b/>
      <u val="single"/>
      <sz val="12"/>
      <color indexed="59"/>
      <name val="Arial"/>
      <family val="0"/>
    </font>
    <font>
      <b/>
      <sz val="12"/>
      <color indexed="57"/>
      <name val="Arial"/>
      <family val="0"/>
    </font>
    <font>
      <b/>
      <sz val="12"/>
      <color indexed="21"/>
      <name val="Arial"/>
      <family val="0"/>
    </font>
    <font>
      <sz val="12"/>
      <color indexed="8"/>
      <name val="Verdana"/>
      <family val="0"/>
    </font>
    <font>
      <b/>
      <sz val="11"/>
      <color indexed="8"/>
      <name val="Verdana"/>
      <family val="0"/>
    </font>
    <font>
      <sz val="17.75"/>
      <color indexed="8"/>
      <name val="Arial"/>
      <family val="0"/>
    </font>
    <font>
      <sz val="8"/>
      <color indexed="8"/>
      <name val="Arial"/>
      <family val="0"/>
    </font>
    <font>
      <sz val="8.5"/>
      <color indexed="8"/>
      <name val="Arial"/>
      <family val="0"/>
    </font>
    <font>
      <b/>
      <sz val="12"/>
      <color indexed="21"/>
      <name val="Arial Black"/>
      <family val="0"/>
    </font>
    <font>
      <sz val="6.75"/>
      <color indexed="8"/>
      <name val="Arial"/>
      <family val="0"/>
    </font>
    <font>
      <b/>
      <sz val="10"/>
      <color indexed="21"/>
      <name val="Arial Black"/>
      <family val="0"/>
    </font>
    <font>
      <sz val="8.45"/>
      <color indexed="8"/>
      <name val="Arial"/>
      <family val="0"/>
    </font>
    <font>
      <sz val="11.5"/>
      <color indexed="8"/>
      <name val="Arial"/>
      <family val="0"/>
    </font>
    <font>
      <sz val="7.55"/>
      <color indexed="8"/>
      <name val="Arial"/>
      <family val="0"/>
    </font>
    <font>
      <b/>
      <i/>
      <sz val="12"/>
      <color indexed="8"/>
      <name val="Arial"/>
      <family val="0"/>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8"/>
      <name val="Courie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double"/>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medium"/>
      <bottom style="medium"/>
    </border>
    <border>
      <left style="thin"/>
      <right>
        <color indexed="63"/>
      </right>
      <top>
        <color indexed="63"/>
      </top>
      <bottom style="dotted"/>
    </border>
    <border>
      <left style="thin"/>
      <right style="thin"/>
      <top>
        <color indexed="63"/>
      </top>
      <bottom style="dotted"/>
    </border>
    <border>
      <left style="thin"/>
      <right style="thin"/>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style="thin"/>
      <top style="thin"/>
      <bottom>
        <color indexed="63"/>
      </bottom>
    </border>
    <border>
      <left style="thin"/>
      <right>
        <color indexed="63"/>
      </right>
      <top style="medium"/>
      <bottom style="thin"/>
    </border>
    <border>
      <left style="medium"/>
      <right style="thin"/>
      <top>
        <color indexed="63"/>
      </top>
      <bottom style="thin"/>
    </border>
    <border>
      <left style="medium"/>
      <right>
        <color indexed="63"/>
      </right>
      <top style="thin"/>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medium"/>
    </border>
    <border>
      <left>
        <color indexed="63"/>
      </left>
      <right style="thin"/>
      <top style="medium"/>
      <bottom style="medium"/>
    </border>
    <border>
      <left style="medium"/>
      <right style="thin"/>
      <top style="medium"/>
      <bottom style="medium"/>
    </border>
    <border>
      <left>
        <color indexed="63"/>
      </left>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thin"/>
      <right style="medium"/>
      <top>
        <color indexed="63"/>
      </top>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style="thin"/>
      <right style="medium"/>
      <top style="medium"/>
      <bottom>
        <color indexed="63"/>
      </bottom>
    </border>
    <border>
      <left style="thin"/>
      <right>
        <color indexed="63"/>
      </right>
      <top style="medium"/>
      <bottom style="medium"/>
    </border>
    <border>
      <left style="thin"/>
      <right style="thin"/>
      <top>
        <color indexed="63"/>
      </top>
      <bottom style="medium"/>
    </border>
    <border>
      <left style="thin"/>
      <right style="thin"/>
      <top style="medium"/>
      <bottom>
        <color indexed="63"/>
      </bottom>
    </border>
    <border>
      <left style="thin"/>
      <right style="thin"/>
      <top style="medium"/>
      <bottom style="medium"/>
    </border>
    <border>
      <left style="thin">
        <color indexed="39"/>
      </left>
      <right>
        <color indexed="63"/>
      </right>
      <top style="thin">
        <color indexed="39"/>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style="thin">
        <color indexed="39"/>
      </left>
      <right>
        <color indexed="63"/>
      </right>
      <top>
        <color indexed="63"/>
      </top>
      <bottom>
        <color indexed="63"/>
      </bottom>
    </border>
    <border>
      <left>
        <color indexed="63"/>
      </left>
      <right style="thin">
        <color indexed="39"/>
      </right>
      <top>
        <color indexed="63"/>
      </top>
      <bottom>
        <color indexed="63"/>
      </bottom>
    </border>
    <border>
      <left style="thin">
        <color indexed="39"/>
      </left>
      <right>
        <color indexed="63"/>
      </right>
      <top>
        <color indexed="63"/>
      </top>
      <bottom style="thin">
        <color indexed="39"/>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s>
  <cellStyleXfs count="77">
    <xf numFmtId="192"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8" fillId="20" borderId="0" applyNumberFormat="0" applyBorder="0" applyAlignment="0" applyProtection="0"/>
    <xf numFmtId="0" fontId="109" fillId="21" borderId="1" applyNumberFormat="0" applyAlignment="0" applyProtection="0"/>
    <xf numFmtId="0" fontId="110" fillId="22" borderId="2" applyNumberFormat="0" applyAlignment="0" applyProtection="0"/>
    <xf numFmtId="0" fontId="111" fillId="0" borderId="3" applyNumberFormat="0" applyFill="0" applyAlignment="0" applyProtection="0"/>
    <xf numFmtId="0" fontId="5" fillId="0" borderId="0">
      <alignment/>
      <protection locked="0"/>
    </xf>
    <xf numFmtId="0" fontId="8" fillId="0" borderId="0">
      <alignment/>
      <protection locked="0"/>
    </xf>
    <xf numFmtId="0" fontId="8" fillId="0" borderId="0">
      <alignment/>
      <protection locked="0"/>
    </xf>
    <xf numFmtId="0" fontId="112" fillId="0" borderId="0" applyNumberFormat="0" applyFill="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13" fillId="29" borderId="1" applyNumberFormat="0" applyAlignment="0" applyProtection="0"/>
    <xf numFmtId="0" fontId="5" fillId="0" borderId="0">
      <alignment/>
      <protection locked="0"/>
    </xf>
    <xf numFmtId="0" fontId="5" fillId="0" borderId="0">
      <alignment/>
      <protection locked="0"/>
    </xf>
    <xf numFmtId="0" fontId="6" fillId="0" borderId="0">
      <alignment/>
      <protection locked="0"/>
    </xf>
    <xf numFmtId="0" fontId="5" fillId="0" borderId="0">
      <alignment/>
      <protection locked="0"/>
    </xf>
    <xf numFmtId="0" fontId="5" fillId="0" borderId="0">
      <alignment/>
      <protection locked="0"/>
    </xf>
    <xf numFmtId="0" fontId="5" fillId="0" borderId="0">
      <alignment/>
      <protection locked="0"/>
    </xf>
    <xf numFmtId="0" fontId="7" fillId="0" borderId="0">
      <alignment/>
      <protection locked="0"/>
    </xf>
    <xf numFmtId="195" fontId="5" fillId="0" borderId="0">
      <alignment/>
      <protection locked="0"/>
    </xf>
    <xf numFmtId="193" fontId="5" fillId="0" borderId="0">
      <alignment/>
      <protection locked="0"/>
    </xf>
    <xf numFmtId="0" fontId="57" fillId="0" borderId="0" applyNumberFormat="0" applyFill="0" applyBorder="0" applyAlignment="0" applyProtection="0"/>
    <xf numFmtId="0" fontId="60" fillId="0" borderId="0" applyNumberFormat="0" applyFill="0" applyBorder="0" applyAlignment="0" applyProtection="0"/>
    <xf numFmtId="0" fontId="114" fillId="30" borderId="0" applyNumberFormat="0" applyBorder="0" applyAlignment="0" applyProtection="0"/>
    <xf numFmtId="191"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88" fontId="4" fillId="0" borderId="0" applyFont="0" applyFill="0" applyBorder="0" applyAlignment="0" applyProtection="0"/>
    <xf numFmtId="194" fontId="5" fillId="0" borderId="0">
      <alignment/>
      <protection locked="0"/>
    </xf>
    <xf numFmtId="0" fontId="115" fillId="31" borderId="0" applyNumberFormat="0" applyBorder="0" applyAlignment="0" applyProtection="0"/>
    <xf numFmtId="0" fontId="0" fillId="32" borderId="4" applyNumberFormat="0" applyFont="0" applyAlignment="0" applyProtection="0"/>
    <xf numFmtId="196" fontId="5" fillId="0" borderId="0">
      <alignment/>
      <protection locked="0"/>
    </xf>
    <xf numFmtId="9" fontId="4" fillId="0" borderId="0" applyFont="0" applyFill="0" applyBorder="0" applyAlignment="0" applyProtection="0"/>
    <xf numFmtId="0" fontId="116" fillId="21" borderId="5" applyNumberFormat="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6" applyNumberFormat="0" applyFill="0" applyAlignment="0" applyProtection="0"/>
    <xf numFmtId="0" fontId="121" fillId="0" borderId="7" applyNumberFormat="0" applyFill="0" applyAlignment="0" applyProtection="0"/>
    <xf numFmtId="0" fontId="112" fillId="0" borderId="8" applyNumberFormat="0" applyFill="0" applyAlignment="0" applyProtection="0"/>
    <xf numFmtId="0" fontId="5" fillId="0" borderId="9">
      <alignment/>
      <protection locked="0"/>
    </xf>
  </cellStyleXfs>
  <cellXfs count="1661">
    <xf numFmtId="192" fontId="0" fillId="0" borderId="0" xfId="0" applyAlignment="1">
      <alignment/>
    </xf>
    <xf numFmtId="192" fontId="0" fillId="0" borderId="0" xfId="0" applyBorder="1" applyAlignment="1">
      <alignment/>
    </xf>
    <xf numFmtId="192" fontId="10" fillId="0" borderId="0" xfId="0" applyNumberFormat="1" applyFont="1" applyBorder="1" applyAlignment="1" applyProtection="1">
      <alignment horizontal="center"/>
      <protection/>
    </xf>
    <xf numFmtId="192" fontId="9" fillId="0" borderId="0" xfId="0" applyFont="1" applyBorder="1" applyAlignment="1" applyProtection="1">
      <alignment/>
      <protection/>
    </xf>
    <xf numFmtId="192" fontId="10" fillId="0" borderId="0" xfId="0" applyNumberFormat="1" applyFont="1" applyBorder="1" applyAlignment="1" applyProtection="1">
      <alignment/>
      <protection/>
    </xf>
    <xf numFmtId="49" fontId="10" fillId="0" borderId="0" xfId="0" applyNumberFormat="1" applyFont="1" applyFill="1" applyBorder="1" applyAlignment="1" applyProtection="1">
      <alignment horizontal="right"/>
      <protection locked="0"/>
    </xf>
    <xf numFmtId="192" fontId="1" fillId="33" borderId="10" xfId="0" applyFont="1" applyFill="1" applyBorder="1" applyAlignment="1">
      <alignment horizontal="centerContinuous"/>
    </xf>
    <xf numFmtId="192" fontId="1" fillId="33" borderId="11" xfId="0" applyFont="1" applyFill="1" applyBorder="1" applyAlignment="1">
      <alignment horizontal="centerContinuous"/>
    </xf>
    <xf numFmtId="192" fontId="1" fillId="33" borderId="12" xfId="0" applyFont="1" applyFill="1" applyBorder="1" applyAlignment="1">
      <alignment horizontal="centerContinuous"/>
    </xf>
    <xf numFmtId="192" fontId="4" fillId="0" borderId="0" xfId="0" applyFont="1" applyAlignment="1">
      <alignment/>
    </xf>
    <xf numFmtId="192" fontId="13" fillId="0" borderId="13" xfId="0" applyNumberFormat="1" applyFont="1" applyFill="1" applyBorder="1" applyAlignment="1" applyProtection="1">
      <alignment/>
      <protection locked="0"/>
    </xf>
    <xf numFmtId="192" fontId="4" fillId="0" borderId="12" xfId="0" applyNumberFormat="1" applyFont="1" applyBorder="1" applyAlignment="1" applyProtection="1">
      <alignment horizontal="center"/>
      <protection/>
    </xf>
    <xf numFmtId="192" fontId="12" fillId="0" borderId="14" xfId="0" applyNumberFormat="1" applyFont="1" applyFill="1" applyBorder="1" applyAlignment="1" applyProtection="1" quotePrefix="1">
      <alignment horizontal="left"/>
      <protection/>
    </xf>
    <xf numFmtId="192" fontId="4" fillId="0" borderId="15" xfId="0" applyFont="1" applyBorder="1" applyAlignment="1">
      <alignment/>
    </xf>
    <xf numFmtId="192" fontId="13" fillId="0" borderId="16" xfId="0" applyNumberFormat="1" applyFont="1" applyFill="1" applyBorder="1" applyAlignment="1" applyProtection="1">
      <alignment/>
      <protection locked="0"/>
    </xf>
    <xf numFmtId="192" fontId="4" fillId="0" borderId="15" xfId="0" applyNumberFormat="1" applyFont="1" applyBorder="1" applyAlignment="1" applyProtection="1">
      <alignment horizontal="center"/>
      <protection/>
    </xf>
    <xf numFmtId="192" fontId="4" fillId="0" borderId="14" xfId="0" applyFont="1" applyBorder="1" applyAlignment="1">
      <alignment/>
    </xf>
    <xf numFmtId="192" fontId="13" fillId="0" borderId="16" xfId="0" applyFont="1" applyBorder="1" applyAlignment="1" applyProtection="1">
      <alignment/>
      <protection locked="0"/>
    </xf>
    <xf numFmtId="192" fontId="4" fillId="0" borderId="17" xfId="0" applyNumberFormat="1" applyFont="1" applyBorder="1" applyAlignment="1" applyProtection="1">
      <alignment horizontal="center"/>
      <protection/>
    </xf>
    <xf numFmtId="192" fontId="4" fillId="0" borderId="0" xfId="0" applyNumberFormat="1" applyFont="1" applyAlignment="1" applyProtection="1">
      <alignment horizontal="left"/>
      <protection/>
    </xf>
    <xf numFmtId="192" fontId="4" fillId="0" borderId="0" xfId="0" applyNumberFormat="1" applyFont="1" applyAlignment="1" applyProtection="1">
      <alignment/>
      <protection/>
    </xf>
    <xf numFmtId="192" fontId="4" fillId="0" borderId="0" xfId="0" applyFont="1" applyAlignment="1" applyProtection="1">
      <alignment/>
      <protection/>
    </xf>
    <xf numFmtId="192" fontId="12" fillId="0" borderId="18" xfId="0" applyNumberFormat="1" applyFont="1" applyFill="1" applyBorder="1" applyAlignment="1" applyProtection="1">
      <alignment/>
      <protection/>
    </xf>
    <xf numFmtId="192" fontId="12" fillId="0" borderId="18" xfId="0" applyNumberFormat="1" applyFont="1" applyFill="1" applyBorder="1" applyAlignment="1" applyProtection="1">
      <alignment horizontal="center"/>
      <protection/>
    </xf>
    <xf numFmtId="192" fontId="12" fillId="0" borderId="11" xfId="0" applyNumberFormat="1" applyFont="1" applyFill="1" applyBorder="1" applyAlignment="1" applyProtection="1">
      <alignment horizontal="center"/>
      <protection/>
    </xf>
    <xf numFmtId="192" fontId="12" fillId="0" borderId="10" xfId="0" applyNumberFormat="1" applyFont="1" applyFill="1" applyBorder="1" applyAlignment="1" applyProtection="1">
      <alignment horizontal="center"/>
      <protection/>
    </xf>
    <xf numFmtId="192" fontId="12" fillId="0" borderId="18" xfId="0" applyNumberFormat="1" applyFont="1" applyFill="1" applyBorder="1" applyAlignment="1" applyProtection="1">
      <alignment/>
      <protection/>
    </xf>
    <xf numFmtId="192" fontId="12" fillId="0" borderId="11" xfId="0" applyNumberFormat="1" applyFont="1" applyFill="1" applyBorder="1" applyAlignment="1" applyProtection="1">
      <alignment/>
      <protection/>
    </xf>
    <xf numFmtId="192" fontId="12" fillId="0" borderId="14" xfId="0" applyNumberFormat="1" applyFont="1" applyFill="1" applyBorder="1" applyAlignment="1" applyProtection="1">
      <alignment/>
      <protection/>
    </xf>
    <xf numFmtId="192" fontId="4" fillId="0" borderId="0" xfId="0" applyFont="1" applyBorder="1" applyAlignment="1" applyProtection="1">
      <alignment/>
      <protection/>
    </xf>
    <xf numFmtId="192" fontId="4" fillId="0" borderId="15" xfId="0" applyFont="1" applyBorder="1" applyAlignment="1" applyProtection="1">
      <alignment/>
      <protection/>
    </xf>
    <xf numFmtId="192" fontId="13" fillId="0" borderId="0" xfId="0" applyNumberFormat="1" applyFont="1" applyAlignment="1" applyProtection="1">
      <alignment/>
      <protection/>
    </xf>
    <xf numFmtId="192" fontId="12" fillId="0" borderId="14" xfId="0" applyNumberFormat="1" applyFont="1" applyFill="1" applyBorder="1" applyAlignment="1" applyProtection="1">
      <alignment/>
      <protection/>
    </xf>
    <xf numFmtId="192" fontId="13" fillId="0" borderId="14" xfId="0" applyNumberFormat="1" applyFont="1" applyBorder="1" applyAlignment="1" applyProtection="1">
      <alignment/>
      <protection locked="0"/>
    </xf>
    <xf numFmtId="192" fontId="13" fillId="0" borderId="0" xfId="0" applyNumberFormat="1" applyFont="1" applyAlignment="1" applyProtection="1">
      <alignment/>
      <protection locked="0"/>
    </xf>
    <xf numFmtId="198" fontId="13" fillId="0" borderId="14" xfId="0" applyNumberFormat="1" applyFont="1" applyFill="1" applyBorder="1" applyAlignment="1" applyProtection="1">
      <alignment/>
      <protection/>
    </xf>
    <xf numFmtId="198" fontId="13" fillId="0" borderId="0" xfId="0" applyNumberFormat="1" applyFont="1" applyAlignment="1" applyProtection="1">
      <alignment horizontal="left"/>
      <protection/>
    </xf>
    <xf numFmtId="4" fontId="13" fillId="0" borderId="14" xfId="0" applyNumberFormat="1" applyFont="1" applyBorder="1" applyAlignment="1" applyProtection="1">
      <alignment/>
      <protection locked="0"/>
    </xf>
    <xf numFmtId="197" fontId="13" fillId="0" borderId="14" xfId="0" applyNumberFormat="1" applyFont="1" applyBorder="1" applyAlignment="1" applyProtection="1">
      <alignment/>
      <protection locked="0"/>
    </xf>
    <xf numFmtId="198" fontId="13" fillId="0" borderId="0" xfId="0" applyNumberFormat="1" applyFont="1" applyAlignment="1" applyProtection="1">
      <alignment/>
      <protection/>
    </xf>
    <xf numFmtId="192" fontId="13" fillId="0" borderId="0" xfId="0" applyNumberFormat="1" applyFont="1" applyBorder="1" applyAlignment="1" applyProtection="1">
      <alignment/>
      <protection locked="0"/>
    </xf>
    <xf numFmtId="192" fontId="12" fillId="0" borderId="14" xfId="0" applyNumberFormat="1" applyFont="1" applyFill="1" applyBorder="1" applyAlignment="1" applyProtection="1">
      <alignment/>
      <protection locked="0"/>
    </xf>
    <xf numFmtId="192" fontId="13" fillId="0" borderId="14" xfId="0" applyNumberFormat="1" applyFont="1" applyBorder="1" applyAlignment="1" applyProtection="1">
      <alignment/>
      <protection/>
    </xf>
    <xf numFmtId="192" fontId="13" fillId="0" borderId="0" xfId="0" applyNumberFormat="1" applyFont="1" applyBorder="1" applyAlignment="1" applyProtection="1">
      <alignment/>
      <protection/>
    </xf>
    <xf numFmtId="198" fontId="13" fillId="0" borderId="14" xfId="0" applyNumberFormat="1" applyFont="1" applyBorder="1" applyAlignment="1" applyProtection="1">
      <alignment/>
      <protection/>
    </xf>
    <xf numFmtId="192" fontId="12" fillId="0" borderId="14" xfId="0" applyNumberFormat="1" applyFont="1" applyFill="1" applyBorder="1" applyAlignment="1" applyProtection="1" quotePrefix="1">
      <alignment horizontal="left"/>
      <protection locked="0"/>
    </xf>
    <xf numFmtId="192" fontId="4" fillId="0" borderId="0" xfId="0" applyNumberFormat="1" applyFont="1" applyBorder="1" applyAlignment="1" applyProtection="1">
      <alignment/>
      <protection/>
    </xf>
    <xf numFmtId="192" fontId="12" fillId="0" borderId="14" xfId="0" applyNumberFormat="1" applyFont="1" applyFill="1" applyBorder="1" applyAlignment="1" applyProtection="1">
      <alignment/>
      <protection locked="0"/>
    </xf>
    <xf numFmtId="198" fontId="13" fillId="0" borderId="14" xfId="0" applyNumberFormat="1" applyFont="1" applyBorder="1" applyAlignment="1" applyProtection="1">
      <alignment/>
      <protection locked="0"/>
    </xf>
    <xf numFmtId="198" fontId="13" fillId="0" borderId="0" xfId="0" applyNumberFormat="1" applyFont="1" applyAlignment="1" applyProtection="1">
      <alignment/>
      <protection locked="0"/>
    </xf>
    <xf numFmtId="192" fontId="12" fillId="0" borderId="10" xfId="0" applyNumberFormat="1" applyFont="1" applyFill="1" applyBorder="1" applyAlignment="1" applyProtection="1">
      <alignment/>
      <protection/>
    </xf>
    <xf numFmtId="192" fontId="4" fillId="0" borderId="19" xfId="0" applyFont="1" applyBorder="1" applyAlignment="1">
      <alignment/>
    </xf>
    <xf numFmtId="192" fontId="15" fillId="33" borderId="0" xfId="0" applyFont="1" applyFill="1" applyAlignment="1">
      <alignment/>
    </xf>
    <xf numFmtId="192" fontId="16" fillId="33" borderId="0" xfId="0" applyNumberFormat="1" applyFont="1" applyFill="1" applyAlignment="1" applyProtection="1">
      <alignment/>
      <protection/>
    </xf>
    <xf numFmtId="198" fontId="16" fillId="33" borderId="0" xfId="0" applyNumberFormat="1" applyFont="1" applyFill="1" applyAlignment="1" applyProtection="1">
      <alignment/>
      <protection/>
    </xf>
    <xf numFmtId="192" fontId="16" fillId="33" borderId="0" xfId="0" applyFont="1" applyFill="1" applyAlignment="1">
      <alignment/>
    </xf>
    <xf numFmtId="192" fontId="15" fillId="33" borderId="0" xfId="0" applyNumberFormat="1" applyFont="1" applyFill="1" applyAlignment="1" applyProtection="1">
      <alignment/>
      <protection/>
    </xf>
    <xf numFmtId="192" fontId="4" fillId="0" borderId="12" xfId="0" applyNumberFormat="1" applyFont="1" applyBorder="1" applyAlignment="1" applyProtection="1">
      <alignment/>
      <protection/>
    </xf>
    <xf numFmtId="192" fontId="12" fillId="0" borderId="10" xfId="0" applyNumberFormat="1" applyFont="1" applyFill="1" applyBorder="1" applyAlignment="1" applyProtection="1">
      <alignment/>
      <protection/>
    </xf>
    <xf numFmtId="192" fontId="4" fillId="0" borderId="19" xfId="0" applyNumberFormat="1" applyFont="1" applyBorder="1" applyAlignment="1" applyProtection="1">
      <alignment horizontal="center"/>
      <protection/>
    </xf>
    <xf numFmtId="192" fontId="12" fillId="0" borderId="20" xfId="0" applyNumberFormat="1" applyFont="1" applyFill="1" applyBorder="1" applyAlignment="1" applyProtection="1">
      <alignment/>
      <protection/>
    </xf>
    <xf numFmtId="192" fontId="13" fillId="0" borderId="20" xfId="0" applyNumberFormat="1" applyFont="1" applyBorder="1" applyAlignment="1" applyProtection="1">
      <alignment/>
      <protection locked="0"/>
    </xf>
    <xf numFmtId="198" fontId="13" fillId="0" borderId="21" xfId="0" applyNumberFormat="1" applyFont="1" applyBorder="1" applyAlignment="1" applyProtection="1">
      <alignment/>
      <protection locked="0"/>
    </xf>
    <xf numFmtId="192" fontId="13" fillId="0" borderId="21" xfId="0" applyNumberFormat="1" applyFont="1" applyBorder="1" applyAlignment="1" applyProtection="1">
      <alignment/>
      <protection locked="0"/>
    </xf>
    <xf numFmtId="198" fontId="13" fillId="0" borderId="20" xfId="0" applyNumberFormat="1" applyFont="1" applyBorder="1" applyAlignment="1" applyProtection="1">
      <alignment/>
      <protection locked="0"/>
    </xf>
    <xf numFmtId="192" fontId="13" fillId="0" borderId="22" xfId="0" applyNumberFormat="1" applyFont="1" applyBorder="1" applyAlignment="1" applyProtection="1">
      <alignment/>
      <protection locked="0"/>
    </xf>
    <xf numFmtId="198" fontId="13" fillId="0" borderId="0" xfId="0" applyNumberFormat="1" applyFont="1" applyBorder="1" applyAlignment="1" applyProtection="1">
      <alignment/>
      <protection locked="0"/>
    </xf>
    <xf numFmtId="192" fontId="4" fillId="0" borderId="19" xfId="0" applyNumberFormat="1" applyFont="1" applyBorder="1" applyAlignment="1" applyProtection="1">
      <alignment/>
      <protection/>
    </xf>
    <xf numFmtId="192" fontId="4" fillId="0" borderId="11" xfId="0" applyFont="1" applyBorder="1" applyAlignment="1">
      <alignment/>
    </xf>
    <xf numFmtId="192" fontId="17" fillId="0" borderId="0" xfId="0" applyNumberFormat="1" applyFont="1" applyAlignment="1" applyProtection="1">
      <alignment/>
      <protection/>
    </xf>
    <xf numFmtId="192" fontId="14" fillId="0" borderId="0" xfId="0" applyFont="1" applyAlignment="1">
      <alignment/>
    </xf>
    <xf numFmtId="192" fontId="18" fillId="34" borderId="18" xfId="0" applyNumberFormat="1" applyFont="1" applyFill="1" applyBorder="1" applyAlignment="1" applyProtection="1">
      <alignment/>
      <protection/>
    </xf>
    <xf numFmtId="192" fontId="19" fillId="0" borderId="0" xfId="0" applyFont="1" applyFill="1" applyAlignment="1" applyProtection="1">
      <alignment horizontal="left"/>
      <protection/>
    </xf>
    <xf numFmtId="192" fontId="12" fillId="0" borderId="22" xfId="0" applyNumberFormat="1" applyFont="1" applyFill="1" applyBorder="1" applyAlignment="1" applyProtection="1">
      <alignment/>
      <protection/>
    </xf>
    <xf numFmtId="192" fontId="12" fillId="0" borderId="14" xfId="0" applyNumberFormat="1" applyFont="1" applyFill="1" applyBorder="1" applyAlignment="1" applyProtection="1">
      <alignment horizontal="center"/>
      <protection/>
    </xf>
    <xf numFmtId="192" fontId="20" fillId="0" borderId="16" xfId="0" applyNumberFormat="1" applyFont="1" applyFill="1" applyBorder="1" applyAlignment="1" applyProtection="1">
      <alignment/>
      <protection locked="0"/>
    </xf>
    <xf numFmtId="198" fontId="13" fillId="0" borderId="14" xfId="0" applyNumberFormat="1" applyFont="1" applyFill="1" applyBorder="1" applyAlignment="1" applyProtection="1">
      <alignment horizontal="center"/>
      <protection locked="0"/>
    </xf>
    <xf numFmtId="192" fontId="12" fillId="0" borderId="14" xfId="0" applyFont="1" applyFill="1" applyBorder="1" applyAlignment="1" applyProtection="1">
      <alignment/>
      <protection/>
    </xf>
    <xf numFmtId="192" fontId="12" fillId="0" borderId="14" xfId="0" applyFont="1" applyFill="1" applyBorder="1" applyAlignment="1" applyProtection="1" quotePrefix="1">
      <alignment horizontal="left"/>
      <protection/>
    </xf>
    <xf numFmtId="192" fontId="12" fillId="0" borderId="22" xfId="0" applyNumberFormat="1" applyFont="1" applyFill="1" applyBorder="1" applyAlignment="1" applyProtection="1">
      <alignment/>
      <protection/>
    </xf>
    <xf numFmtId="192" fontId="12" fillId="0" borderId="22" xfId="0" applyNumberFormat="1" applyFont="1" applyFill="1" applyBorder="1" applyAlignment="1" applyProtection="1">
      <alignment horizontal="center"/>
      <protection/>
    </xf>
    <xf numFmtId="192" fontId="4" fillId="0" borderId="0" xfId="0" applyFont="1" applyAlignment="1" applyProtection="1">
      <alignment horizontal="center"/>
      <protection/>
    </xf>
    <xf numFmtId="192" fontId="4" fillId="0" borderId="0" xfId="0" applyNumberFormat="1" applyFont="1" applyBorder="1" applyAlignment="1" applyProtection="1">
      <alignment horizontal="left"/>
      <protection/>
    </xf>
    <xf numFmtId="192" fontId="4" fillId="0" borderId="0" xfId="0" applyNumberFormat="1" applyFont="1" applyAlignment="1" applyProtection="1">
      <alignment horizontal="fill"/>
      <protection/>
    </xf>
    <xf numFmtId="192" fontId="12" fillId="0" borderId="18" xfId="0" applyFont="1" applyFill="1" applyBorder="1" applyAlignment="1" applyProtection="1" quotePrefix="1">
      <alignment horizontal="center"/>
      <protection/>
    </xf>
    <xf numFmtId="192" fontId="12" fillId="0" borderId="0" xfId="0" applyNumberFormat="1" applyFont="1" applyFill="1" applyBorder="1" applyAlignment="1" applyProtection="1">
      <alignment/>
      <protection/>
    </xf>
    <xf numFmtId="192" fontId="13" fillId="0" borderId="0" xfId="0" applyNumberFormat="1" applyFont="1" applyAlignment="1" applyProtection="1">
      <alignment horizontal="left"/>
      <protection locked="0"/>
    </xf>
    <xf numFmtId="192" fontId="12" fillId="0" borderId="20" xfId="0" applyFont="1" applyFill="1" applyBorder="1" applyAlignment="1" applyProtection="1">
      <alignment horizontal="center"/>
      <protection/>
    </xf>
    <xf numFmtId="192" fontId="12" fillId="0" borderId="13" xfId="0" applyNumberFormat="1" applyFont="1" applyFill="1" applyBorder="1" applyAlignment="1" applyProtection="1">
      <alignment/>
      <protection/>
    </xf>
    <xf numFmtId="192" fontId="20" fillId="0" borderId="14" xfId="0" applyNumberFormat="1" applyFont="1" applyFill="1" applyBorder="1" applyAlignment="1" applyProtection="1">
      <alignment/>
      <protection locked="0"/>
    </xf>
    <xf numFmtId="192" fontId="12" fillId="0" borderId="16" xfId="0" applyNumberFormat="1" applyFont="1" applyFill="1" applyBorder="1" applyAlignment="1" applyProtection="1">
      <alignment/>
      <protection/>
    </xf>
    <xf numFmtId="192" fontId="4" fillId="0" borderId="22" xfId="0" applyFont="1" applyBorder="1" applyAlignment="1">
      <alignment horizontal="center"/>
    </xf>
    <xf numFmtId="192" fontId="12" fillId="0" borderId="0" xfId="0" applyNumberFormat="1" applyFont="1" applyFill="1" applyBorder="1" applyAlignment="1" applyProtection="1">
      <alignment horizontal="center"/>
      <protection/>
    </xf>
    <xf numFmtId="192" fontId="20" fillId="0" borderId="18" xfId="0" applyNumberFormat="1" applyFont="1" applyFill="1" applyBorder="1" applyAlignment="1" applyProtection="1">
      <alignment/>
      <protection locked="0"/>
    </xf>
    <xf numFmtId="198" fontId="20" fillId="0" borderId="11" xfId="0" applyNumberFormat="1" applyFont="1" applyFill="1" applyBorder="1" applyAlignment="1" applyProtection="1">
      <alignment/>
      <protection locked="0"/>
    </xf>
    <xf numFmtId="198" fontId="13" fillId="0" borderId="15" xfId="0" applyNumberFormat="1" applyFont="1" applyBorder="1" applyAlignment="1" applyProtection="1">
      <alignment/>
      <protection locked="0"/>
    </xf>
    <xf numFmtId="192" fontId="20" fillId="0" borderId="0" xfId="0" applyNumberFormat="1" applyFont="1" applyAlignment="1" applyProtection="1">
      <alignment/>
      <protection locked="0"/>
    </xf>
    <xf numFmtId="198" fontId="20" fillId="0" borderId="0" xfId="0" applyNumberFormat="1" applyFont="1" applyAlignment="1" applyProtection="1">
      <alignment/>
      <protection locked="0"/>
    </xf>
    <xf numFmtId="192" fontId="12" fillId="0" borderId="0" xfId="0" applyFont="1" applyFill="1" applyBorder="1" applyAlignment="1" applyProtection="1">
      <alignment horizontal="center"/>
      <protection/>
    </xf>
    <xf numFmtId="192" fontId="4" fillId="0" borderId="0" xfId="0" applyFont="1" applyBorder="1" applyAlignment="1">
      <alignment/>
    </xf>
    <xf numFmtId="198" fontId="13" fillId="0" borderId="15" xfId="0" applyNumberFormat="1" applyFont="1" applyBorder="1" applyAlignment="1" applyProtection="1">
      <alignment/>
      <protection/>
    </xf>
    <xf numFmtId="197" fontId="12" fillId="0" borderId="0" xfId="0" applyNumberFormat="1" applyFont="1" applyFill="1" applyBorder="1" applyAlignment="1" applyProtection="1">
      <alignment/>
      <protection/>
    </xf>
    <xf numFmtId="192" fontId="13" fillId="0" borderId="15" xfId="0" applyNumberFormat="1" applyFont="1" applyBorder="1" applyAlignment="1" applyProtection="1">
      <alignment/>
      <protection locked="0"/>
    </xf>
    <xf numFmtId="192" fontId="12" fillId="0" borderId="19" xfId="0" applyNumberFormat="1" applyFont="1" applyFill="1" applyBorder="1" applyAlignment="1" applyProtection="1">
      <alignment/>
      <protection/>
    </xf>
    <xf numFmtId="192" fontId="12" fillId="0" borderId="23" xfId="0" applyNumberFormat="1" applyFont="1" applyFill="1" applyBorder="1" applyAlignment="1" applyProtection="1">
      <alignment/>
      <protection/>
    </xf>
    <xf numFmtId="192" fontId="12" fillId="0" borderId="11" xfId="0" applyFont="1" applyFill="1" applyBorder="1" applyAlignment="1">
      <alignment/>
    </xf>
    <xf numFmtId="192" fontId="12" fillId="0" borderId="18" xfId="0" applyFont="1" applyFill="1" applyBorder="1" applyAlignment="1" applyProtection="1">
      <alignment horizontal="center"/>
      <protection/>
    </xf>
    <xf numFmtId="192" fontId="12" fillId="0" borderId="11" xfId="0" applyFont="1" applyFill="1" applyBorder="1" applyAlignment="1" applyProtection="1">
      <alignment horizontal="center"/>
      <protection/>
    </xf>
    <xf numFmtId="192" fontId="12" fillId="0" borderId="12" xfId="0" applyFont="1" applyFill="1" applyBorder="1" applyAlignment="1" applyProtection="1">
      <alignment horizontal="center"/>
      <protection/>
    </xf>
    <xf numFmtId="192" fontId="12" fillId="0" borderId="14" xfId="0" applyFont="1" applyFill="1" applyBorder="1" applyAlignment="1" applyProtection="1">
      <alignment/>
      <protection/>
    </xf>
    <xf numFmtId="192" fontId="20" fillId="0" borderId="0" xfId="0" applyFont="1" applyFill="1" applyAlignment="1" applyProtection="1">
      <alignment horizontal="right"/>
      <protection locked="0"/>
    </xf>
    <xf numFmtId="192" fontId="12" fillId="0" borderId="22" xfId="0" applyFont="1" applyFill="1" applyBorder="1" applyAlignment="1" applyProtection="1">
      <alignment/>
      <protection/>
    </xf>
    <xf numFmtId="192" fontId="13" fillId="0" borderId="0" xfId="0" applyFont="1" applyAlignment="1" applyProtection="1">
      <alignment/>
      <protection locked="0"/>
    </xf>
    <xf numFmtId="192" fontId="12" fillId="0" borderId="10" xfId="0" applyNumberFormat="1" applyFont="1" applyFill="1" applyBorder="1" applyAlignment="1" applyProtection="1">
      <alignment horizontal="centerContinuous"/>
      <protection/>
    </xf>
    <xf numFmtId="192" fontId="12" fillId="0" borderId="0" xfId="0" applyNumberFormat="1" applyFont="1" applyFill="1" applyBorder="1" applyAlignment="1" applyProtection="1">
      <alignment/>
      <protection locked="0"/>
    </xf>
    <xf numFmtId="192" fontId="4" fillId="0" borderId="0" xfId="0" applyNumberFormat="1" applyFont="1" applyBorder="1" applyAlignment="1" applyProtection="1">
      <alignment horizontal="center"/>
      <protection/>
    </xf>
    <xf numFmtId="192" fontId="12" fillId="0" borderId="14" xfId="0" applyNumberFormat="1" applyFont="1" applyFill="1" applyBorder="1" applyAlignment="1" applyProtection="1">
      <alignment horizontal="left"/>
      <protection/>
    </xf>
    <xf numFmtId="192" fontId="4" fillId="0" borderId="0" xfId="0" applyFont="1" applyBorder="1" applyAlignment="1" applyProtection="1">
      <alignment horizontal="center"/>
      <protection/>
    </xf>
    <xf numFmtId="192" fontId="12" fillId="0" borderId="14" xfId="0" applyFont="1" applyFill="1" applyBorder="1" applyAlignment="1">
      <alignment horizontal="right"/>
    </xf>
    <xf numFmtId="192" fontId="12" fillId="0" borderId="0" xfId="0" applyFont="1" applyFill="1" applyAlignment="1">
      <alignment horizontal="right"/>
    </xf>
    <xf numFmtId="192" fontId="4" fillId="0" borderId="0" xfId="0" applyFont="1" applyBorder="1" applyAlignment="1" applyProtection="1" quotePrefix="1">
      <alignment horizontal="center"/>
      <protection/>
    </xf>
    <xf numFmtId="192" fontId="12" fillId="0" borderId="18" xfId="0" applyFont="1" applyFill="1" applyBorder="1" applyAlignment="1" applyProtection="1">
      <alignment/>
      <protection/>
    </xf>
    <xf numFmtId="192" fontId="12" fillId="0" borderId="0" xfId="0" applyNumberFormat="1" applyFont="1" applyFill="1" applyBorder="1" applyAlignment="1" applyProtection="1">
      <alignment/>
      <protection/>
    </xf>
    <xf numFmtId="197" fontId="13" fillId="0" borderId="15" xfId="0" applyNumberFormat="1" applyFont="1" applyBorder="1" applyAlignment="1" applyProtection="1">
      <alignment/>
      <protection locked="0"/>
    </xf>
    <xf numFmtId="192" fontId="4" fillId="0" borderId="14" xfId="0" applyNumberFormat="1" applyFont="1" applyBorder="1" applyAlignment="1" applyProtection="1">
      <alignment horizontal="left"/>
      <protection/>
    </xf>
    <xf numFmtId="192" fontId="12" fillId="0" borderId="14" xfId="0" applyFont="1" applyFill="1" applyBorder="1" applyAlignment="1">
      <alignment/>
    </xf>
    <xf numFmtId="192" fontId="4" fillId="0" borderId="14" xfId="0" applyNumberFormat="1" applyFont="1" applyBorder="1" applyAlignment="1" applyProtection="1">
      <alignment horizontal="center"/>
      <protection/>
    </xf>
    <xf numFmtId="192" fontId="4" fillId="0" borderId="0" xfId="0" applyNumberFormat="1" applyFont="1" applyBorder="1" applyAlignment="1" applyProtection="1" quotePrefix="1">
      <alignment horizontal="center"/>
      <protection/>
    </xf>
    <xf numFmtId="192" fontId="14" fillId="0" borderId="0" xfId="0" applyFont="1" applyBorder="1" applyAlignment="1" applyProtection="1">
      <alignment/>
      <protection/>
    </xf>
    <xf numFmtId="192" fontId="14" fillId="0" borderId="0" xfId="0" applyFont="1" applyAlignment="1" applyProtection="1">
      <alignment/>
      <protection/>
    </xf>
    <xf numFmtId="192" fontId="4" fillId="0" borderId="14" xfId="0" applyFont="1" applyBorder="1" applyAlignment="1" quotePrefix="1">
      <alignment horizontal="left"/>
    </xf>
    <xf numFmtId="9" fontId="13" fillId="0" borderId="15" xfId="68" applyFont="1" applyBorder="1" applyAlignment="1" applyProtection="1">
      <alignment/>
      <protection locked="0"/>
    </xf>
    <xf numFmtId="192" fontId="20" fillId="0" borderId="14" xfId="0" applyNumberFormat="1" applyFont="1" applyFill="1" applyBorder="1" applyAlignment="1" applyProtection="1">
      <alignment/>
      <protection locked="0"/>
    </xf>
    <xf numFmtId="192" fontId="12" fillId="0" borderId="0" xfId="0" applyFont="1" applyAlignment="1">
      <alignment/>
    </xf>
    <xf numFmtId="192" fontId="4" fillId="0" borderId="0" xfId="0" applyNumberFormat="1" applyFont="1" applyBorder="1" applyAlignment="1" applyProtection="1" quotePrefix="1">
      <alignment horizontal="right"/>
      <protection/>
    </xf>
    <xf numFmtId="192" fontId="4" fillId="0" borderId="21" xfId="0" applyFont="1" applyBorder="1" applyAlignment="1" applyProtection="1">
      <alignment horizontal="center"/>
      <protection/>
    </xf>
    <xf numFmtId="192" fontId="12" fillId="0" borderId="0" xfId="0" applyNumberFormat="1" applyFont="1" applyFill="1" applyBorder="1" applyAlignment="1" applyProtection="1" quotePrefix="1">
      <alignment horizontal="center"/>
      <protection/>
    </xf>
    <xf numFmtId="192" fontId="4" fillId="0" borderId="0" xfId="0" applyFont="1" applyBorder="1" applyAlignment="1" quotePrefix="1">
      <alignment horizontal="left"/>
    </xf>
    <xf numFmtId="192" fontId="12" fillId="0" borderId="23" xfId="0" applyNumberFormat="1" applyFont="1" applyFill="1" applyBorder="1" applyAlignment="1" applyProtection="1">
      <alignment horizontal="centerContinuous"/>
      <protection/>
    </xf>
    <xf numFmtId="192" fontId="12" fillId="0" borderId="15" xfId="0" applyNumberFormat="1" applyFont="1" applyFill="1" applyBorder="1" applyAlignment="1" applyProtection="1">
      <alignment/>
      <protection locked="0"/>
    </xf>
    <xf numFmtId="198" fontId="20" fillId="0" borderId="0" xfId="0" applyNumberFormat="1" applyFont="1" applyFill="1" applyBorder="1" applyAlignment="1" applyProtection="1">
      <alignment/>
      <protection locked="0"/>
    </xf>
    <xf numFmtId="192" fontId="4" fillId="0" borderId="13" xfId="0" applyFont="1" applyBorder="1" applyAlignment="1">
      <alignment/>
    </xf>
    <xf numFmtId="192" fontId="12" fillId="0" borderId="16" xfId="0" applyNumberFormat="1" applyFont="1" applyFill="1" applyBorder="1" applyAlignment="1" applyProtection="1">
      <alignment/>
      <protection/>
    </xf>
    <xf numFmtId="192" fontId="12" fillId="35" borderId="16" xfId="0" applyNumberFormat="1" applyFont="1" applyFill="1" applyBorder="1" applyAlignment="1" applyProtection="1">
      <alignment/>
      <protection/>
    </xf>
    <xf numFmtId="192" fontId="4" fillId="0" borderId="16" xfId="0" applyFont="1" applyBorder="1" applyAlignment="1">
      <alignment/>
    </xf>
    <xf numFmtId="192" fontId="4" fillId="0" borderId="0" xfId="0" applyFont="1" applyFill="1" applyAlignment="1">
      <alignment/>
    </xf>
    <xf numFmtId="192" fontId="20" fillId="0" borderId="16" xfId="0" applyNumberFormat="1" applyFont="1" applyBorder="1" applyAlignment="1" applyProtection="1">
      <alignment/>
      <protection locked="0"/>
    </xf>
    <xf numFmtId="192" fontId="13" fillId="0" borderId="15" xfId="0" applyNumberFormat="1" applyFont="1" applyBorder="1" applyAlignment="1" applyProtection="1">
      <alignment horizontal="right"/>
      <protection locked="0"/>
    </xf>
    <xf numFmtId="198" fontId="20" fillId="0" borderId="16" xfId="0" applyNumberFormat="1" applyFont="1" applyBorder="1" applyAlignment="1" applyProtection="1">
      <alignment/>
      <protection locked="0"/>
    </xf>
    <xf numFmtId="192" fontId="13" fillId="0" borderId="15" xfId="0" applyNumberFormat="1" applyFont="1" applyBorder="1" applyAlignment="1" applyProtection="1">
      <alignment/>
      <protection/>
    </xf>
    <xf numFmtId="192" fontId="4" fillId="0" borderId="0" xfId="0" applyFont="1" applyBorder="1" applyAlignment="1">
      <alignment horizontal="left"/>
    </xf>
    <xf numFmtId="198" fontId="20" fillId="0" borderId="15" xfId="0" applyNumberFormat="1" applyFont="1" applyFill="1" applyBorder="1" applyAlignment="1" applyProtection="1">
      <alignment/>
      <protection locked="0"/>
    </xf>
    <xf numFmtId="192" fontId="12" fillId="0" borderId="0" xfId="0" applyNumberFormat="1" applyFont="1" applyFill="1" applyBorder="1" applyAlignment="1" applyProtection="1">
      <alignment horizontal="centerContinuous"/>
      <protection locked="0"/>
    </xf>
    <xf numFmtId="192" fontId="12" fillId="0" borderId="0" xfId="0" applyNumberFormat="1" applyFont="1" applyFill="1" applyBorder="1" applyAlignment="1" applyProtection="1">
      <alignment horizontal="left"/>
      <protection locked="0"/>
    </xf>
    <xf numFmtId="192" fontId="12" fillId="0" borderId="15" xfId="0" applyNumberFormat="1" applyFont="1" applyFill="1" applyBorder="1" applyAlignment="1" applyProtection="1">
      <alignment horizontal="left"/>
      <protection locked="0"/>
    </xf>
    <xf numFmtId="202" fontId="20" fillId="0" borderId="16" xfId="0" applyNumberFormat="1" applyFont="1" applyFill="1" applyBorder="1" applyAlignment="1" applyProtection="1">
      <alignment/>
      <protection locked="0"/>
    </xf>
    <xf numFmtId="192" fontId="4" fillId="0" borderId="19" xfId="0" applyFont="1" applyBorder="1" applyAlignment="1">
      <alignment horizontal="right"/>
    </xf>
    <xf numFmtId="192" fontId="12" fillId="0" borderId="22" xfId="0" applyFont="1" applyFill="1" applyBorder="1" applyAlignment="1">
      <alignment/>
    </xf>
    <xf numFmtId="192" fontId="4" fillId="0" borderId="22" xfId="0" applyFont="1" applyBorder="1" applyAlignment="1" quotePrefix="1">
      <alignment horizontal="center"/>
    </xf>
    <xf numFmtId="192" fontId="12" fillId="0" borderId="22" xfId="0" applyFont="1" applyFill="1" applyBorder="1" applyAlignment="1" applyProtection="1" quotePrefix="1">
      <alignment horizontal="left"/>
      <protection/>
    </xf>
    <xf numFmtId="192" fontId="4" fillId="0" borderId="22" xfId="0" applyFont="1" applyBorder="1" applyAlignment="1">
      <alignment/>
    </xf>
    <xf numFmtId="192" fontId="12" fillId="0" borderId="0" xfId="0" applyNumberFormat="1" applyFont="1" applyFill="1" applyBorder="1" applyAlignment="1" applyProtection="1">
      <alignment horizontal="center"/>
      <protection locked="0"/>
    </xf>
    <xf numFmtId="192" fontId="12" fillId="0" borderId="15" xfId="0" applyNumberFormat="1" applyFont="1" applyFill="1" applyBorder="1" applyAlignment="1" applyProtection="1">
      <alignment horizontal="right"/>
      <protection/>
    </xf>
    <xf numFmtId="198" fontId="20" fillId="0" borderId="16" xfId="0" applyNumberFormat="1" applyFont="1" applyFill="1" applyBorder="1" applyAlignment="1" applyProtection="1">
      <alignment/>
      <protection locked="0"/>
    </xf>
    <xf numFmtId="192" fontId="4" fillId="0" borderId="14" xfId="0" applyNumberFormat="1" applyFont="1" applyFill="1" applyBorder="1" applyAlignment="1" applyProtection="1">
      <alignment/>
      <protection locked="0"/>
    </xf>
    <xf numFmtId="192" fontId="20" fillId="0" borderId="16" xfId="0" applyNumberFormat="1" applyFont="1" applyFill="1" applyBorder="1" applyAlignment="1" applyProtection="1">
      <alignment/>
      <protection locked="0"/>
    </xf>
    <xf numFmtId="192" fontId="4" fillId="0" borderId="0" xfId="0" applyFont="1" applyBorder="1" applyAlignment="1">
      <alignment horizontal="center"/>
    </xf>
    <xf numFmtId="192" fontId="4" fillId="0" borderId="20" xfId="0" applyFont="1" applyBorder="1" applyAlignment="1">
      <alignment/>
    </xf>
    <xf numFmtId="192" fontId="4" fillId="0" borderId="21" xfId="0" applyFont="1" applyBorder="1" applyAlignment="1">
      <alignment/>
    </xf>
    <xf numFmtId="192" fontId="4" fillId="0" borderId="21" xfId="0" applyFont="1" applyBorder="1" applyAlignment="1" applyProtection="1">
      <alignment/>
      <protection/>
    </xf>
    <xf numFmtId="192" fontId="4" fillId="0" borderId="17" xfId="0" applyFont="1" applyBorder="1" applyAlignment="1" applyProtection="1">
      <alignment/>
      <protection/>
    </xf>
    <xf numFmtId="192" fontId="4" fillId="0" borderId="22" xfId="0" applyFont="1" applyBorder="1" applyAlignment="1">
      <alignment horizontal="right"/>
    </xf>
    <xf numFmtId="192" fontId="12" fillId="0" borderId="15" xfId="0" applyNumberFormat="1" applyFont="1" applyFill="1" applyBorder="1" applyAlignment="1" applyProtection="1">
      <alignment/>
      <protection locked="0"/>
    </xf>
    <xf numFmtId="192" fontId="12" fillId="0" borderId="22" xfId="0" applyNumberFormat="1" applyFont="1" applyFill="1" applyBorder="1" applyAlignment="1" applyProtection="1">
      <alignment horizontal="right"/>
      <protection/>
    </xf>
    <xf numFmtId="192" fontId="4" fillId="0" borderId="10" xfId="0" applyNumberFormat="1" applyFont="1" applyBorder="1" applyAlignment="1" applyProtection="1">
      <alignment/>
      <protection/>
    </xf>
    <xf numFmtId="192" fontId="20" fillId="0" borderId="22" xfId="0" applyNumberFormat="1" applyFont="1" applyBorder="1" applyAlignment="1" applyProtection="1">
      <alignment/>
      <protection locked="0"/>
    </xf>
    <xf numFmtId="192" fontId="14" fillId="0" borderId="0" xfId="0" applyNumberFormat="1" applyFont="1" applyFill="1" applyBorder="1" applyAlignment="1" applyProtection="1" quotePrefix="1">
      <alignment horizontal="center"/>
      <protection/>
    </xf>
    <xf numFmtId="192" fontId="14" fillId="0" borderId="0" xfId="0" applyNumberFormat="1" applyFont="1" applyFill="1" applyBorder="1" applyAlignment="1" applyProtection="1">
      <alignment horizontal="centerContinuous"/>
      <protection/>
    </xf>
    <xf numFmtId="192" fontId="12" fillId="0" borderId="22" xfId="0" applyFont="1" applyBorder="1" applyAlignment="1">
      <alignment horizontal="center"/>
    </xf>
    <xf numFmtId="49" fontId="12" fillId="0" borderId="22" xfId="0" applyNumberFormat="1" applyFont="1" applyFill="1" applyBorder="1" applyAlignment="1" applyProtection="1">
      <alignment horizontal="center"/>
      <protection/>
    </xf>
    <xf numFmtId="192" fontId="17" fillId="0" borderId="15" xfId="0" applyNumberFormat="1" applyFont="1" applyBorder="1" applyAlignment="1" applyProtection="1">
      <alignment/>
      <protection locked="0"/>
    </xf>
    <xf numFmtId="192" fontId="13" fillId="0" borderId="0" xfId="0" applyNumberFormat="1" applyFont="1" applyBorder="1" applyAlignment="1" applyProtection="1">
      <alignment horizontal="fill"/>
      <protection locked="0"/>
    </xf>
    <xf numFmtId="192" fontId="4" fillId="0" borderId="0" xfId="0" applyFont="1" applyBorder="1" applyAlignment="1" applyProtection="1">
      <alignment/>
      <protection locked="0"/>
    </xf>
    <xf numFmtId="192" fontId="4" fillId="0" borderId="10" xfId="0" applyFont="1" applyBorder="1" applyAlignment="1">
      <alignment horizontal="right"/>
    </xf>
    <xf numFmtId="192" fontId="13" fillId="0" borderId="0" xfId="0" applyNumberFormat="1" applyFont="1" applyBorder="1" applyAlignment="1" applyProtection="1">
      <alignment horizontal="center"/>
      <protection/>
    </xf>
    <xf numFmtId="192" fontId="12" fillId="0" borderId="10" xfId="0" applyFont="1" applyFill="1" applyBorder="1" applyAlignment="1" applyProtection="1" quotePrefix="1">
      <alignment horizontal="left"/>
      <protection/>
    </xf>
    <xf numFmtId="192" fontId="4" fillId="0" borderId="10" xfId="0" applyFont="1" applyBorder="1" applyAlignment="1">
      <alignment/>
    </xf>
    <xf numFmtId="192" fontId="12" fillId="0" borderId="0" xfId="0" applyFont="1" applyFill="1" applyBorder="1" applyAlignment="1">
      <alignment/>
    </xf>
    <xf numFmtId="192" fontId="4" fillId="0" borderId="16" xfId="0" applyNumberFormat="1" applyFont="1" applyFill="1" applyBorder="1" applyAlignment="1" applyProtection="1">
      <alignment/>
      <protection/>
    </xf>
    <xf numFmtId="192" fontId="4" fillId="0" borderId="13" xfId="0" applyFont="1" applyBorder="1" applyAlignment="1">
      <alignment horizontal="right"/>
    </xf>
    <xf numFmtId="192" fontId="12" fillId="0" borderId="0" xfId="0" applyNumberFormat="1" applyFont="1" applyFill="1" applyAlignment="1" applyProtection="1">
      <alignment/>
      <protection/>
    </xf>
    <xf numFmtId="192" fontId="4" fillId="0" borderId="11" xfId="0" applyNumberFormat="1" applyFont="1" applyBorder="1" applyAlignment="1" applyProtection="1" quotePrefix="1">
      <alignment horizontal="center"/>
      <protection/>
    </xf>
    <xf numFmtId="198" fontId="13" fillId="0" borderId="11" xfId="0" applyNumberFormat="1" applyFont="1" applyBorder="1" applyAlignment="1" applyProtection="1">
      <alignment/>
      <protection locked="0"/>
    </xf>
    <xf numFmtId="192" fontId="13" fillId="0" borderId="21" xfId="0" applyNumberFormat="1" applyFont="1" applyBorder="1" applyAlignment="1" applyProtection="1">
      <alignment horizontal="centerContinuous"/>
      <protection/>
    </xf>
    <xf numFmtId="192" fontId="19" fillId="0" borderId="0" xfId="0" applyNumberFormat="1" applyFont="1" applyAlignment="1" applyProtection="1">
      <alignment horizontal="left"/>
      <protection/>
    </xf>
    <xf numFmtId="192" fontId="25" fillId="0" borderId="0" xfId="0" applyFont="1" applyAlignment="1">
      <alignment/>
    </xf>
    <xf numFmtId="192" fontId="23" fillId="0" borderId="0" xfId="0" applyFont="1" applyFill="1" applyBorder="1" applyAlignment="1" applyProtection="1">
      <alignment/>
      <protection/>
    </xf>
    <xf numFmtId="192" fontId="4" fillId="0" borderId="0" xfId="0" applyFont="1" applyAlignment="1">
      <alignment horizontal="center"/>
    </xf>
    <xf numFmtId="192" fontId="12" fillId="0" borderId="22" xfId="0" applyFont="1" applyFill="1" applyBorder="1" applyAlignment="1" applyProtection="1" quotePrefix="1">
      <alignment horizontal="center"/>
      <protection/>
    </xf>
    <xf numFmtId="192" fontId="12" fillId="0" borderId="22" xfId="0" applyFont="1" applyFill="1" applyBorder="1" applyAlignment="1" applyProtection="1">
      <alignment horizontal="center"/>
      <protection/>
    </xf>
    <xf numFmtId="192" fontId="14" fillId="0" borderId="0" xfId="0" applyFont="1" applyBorder="1" applyAlignment="1">
      <alignment horizontal="center"/>
    </xf>
    <xf numFmtId="198" fontId="21" fillId="0" borderId="0" xfId="0" applyNumberFormat="1" applyFont="1" applyFill="1" applyBorder="1" applyAlignment="1" applyProtection="1">
      <alignment horizontal="center"/>
      <protection locked="0"/>
    </xf>
    <xf numFmtId="192" fontId="12" fillId="0" borderId="0" xfId="0" applyFont="1" applyFill="1" applyBorder="1" applyAlignment="1">
      <alignment horizontal="center"/>
    </xf>
    <xf numFmtId="192" fontId="12" fillId="0" borderId="0" xfId="0" applyFont="1" applyFill="1" applyBorder="1" applyAlignment="1" applyProtection="1">
      <alignment horizontal="center"/>
      <protection locked="0"/>
    </xf>
    <xf numFmtId="192" fontId="12" fillId="0" borderId="22" xfId="0" applyFont="1" applyFill="1" applyBorder="1" applyAlignment="1" quotePrefix="1">
      <alignment horizontal="center"/>
    </xf>
    <xf numFmtId="192" fontId="12" fillId="0" borderId="22" xfId="0" applyFont="1" applyFill="1" applyBorder="1" applyAlignment="1">
      <alignment horizontal="center"/>
    </xf>
    <xf numFmtId="198" fontId="21" fillId="0" borderId="14" xfId="0" applyNumberFormat="1" applyFont="1" applyBorder="1" applyAlignment="1" applyProtection="1">
      <alignment horizontal="center"/>
      <protection locked="0"/>
    </xf>
    <xf numFmtId="198" fontId="21" fillId="0" borderId="0" xfId="0" applyNumberFormat="1" applyFont="1" applyBorder="1" applyAlignment="1" applyProtection="1">
      <alignment horizontal="center"/>
      <protection locked="0"/>
    </xf>
    <xf numFmtId="192" fontId="4" fillId="0" borderId="22" xfId="0" applyFont="1" applyBorder="1" applyAlignment="1" applyProtection="1">
      <alignment horizontal="center"/>
      <protection/>
    </xf>
    <xf numFmtId="197" fontId="4" fillId="0" borderId="0" xfId="0" applyNumberFormat="1" applyFont="1" applyBorder="1" applyAlignment="1" applyProtection="1">
      <alignment horizontal="center"/>
      <protection/>
    </xf>
    <xf numFmtId="197" fontId="21" fillId="0" borderId="0" xfId="0" applyNumberFormat="1" applyFont="1" applyFill="1" applyBorder="1" applyAlignment="1" applyProtection="1">
      <alignment horizontal="center"/>
      <protection locked="0"/>
    </xf>
    <xf numFmtId="192" fontId="12" fillId="0" borderId="10" xfId="0" applyFont="1" applyFill="1" applyBorder="1" applyAlignment="1" applyProtection="1">
      <alignment horizontal="centerContinuous"/>
      <protection/>
    </xf>
    <xf numFmtId="192" fontId="4" fillId="0" borderId="23" xfId="0" applyFont="1" applyBorder="1" applyAlignment="1">
      <alignment horizontal="centerContinuous"/>
    </xf>
    <xf numFmtId="197" fontId="12" fillId="0" borderId="0" xfId="0" applyNumberFormat="1" applyFont="1" applyFill="1" applyBorder="1" applyAlignment="1">
      <alignment horizontal="center"/>
    </xf>
    <xf numFmtId="197" fontId="12" fillId="0" borderId="0" xfId="0" applyNumberFormat="1" applyFont="1" applyFill="1" applyBorder="1" applyAlignment="1" applyProtection="1">
      <alignment horizontal="center"/>
      <protection/>
    </xf>
    <xf numFmtId="192" fontId="4" fillId="0" borderId="22" xfId="0" applyFont="1" applyBorder="1" applyAlignment="1">
      <alignment horizontal="centerContinuous"/>
    </xf>
    <xf numFmtId="192" fontId="12" fillId="0" borderId="20" xfId="0" applyFont="1" applyFill="1" applyBorder="1" applyAlignment="1" applyProtection="1">
      <alignment horizontal="centerContinuous"/>
      <protection/>
    </xf>
    <xf numFmtId="192" fontId="12" fillId="0" borderId="23" xfId="0" applyFont="1" applyFill="1" applyBorder="1" applyAlignment="1" applyProtection="1">
      <alignment horizontal="centerContinuous"/>
      <protection/>
    </xf>
    <xf numFmtId="192" fontId="12" fillId="0" borderId="22" xfId="0" applyFont="1" applyFill="1" applyBorder="1" applyAlignment="1" applyProtection="1">
      <alignment horizontal="centerContinuous"/>
      <protection/>
    </xf>
    <xf numFmtId="197" fontId="4" fillId="0" borderId="0" xfId="0" applyNumberFormat="1" applyFont="1" applyBorder="1" applyAlignment="1">
      <alignment horizontal="center"/>
    </xf>
    <xf numFmtId="197" fontId="21" fillId="0" borderId="0" xfId="0" applyNumberFormat="1" applyFont="1" applyFill="1" applyBorder="1" applyAlignment="1" applyProtection="1">
      <alignment horizontal="center"/>
      <protection/>
    </xf>
    <xf numFmtId="198" fontId="21" fillId="0" borderId="0" xfId="0" applyNumberFormat="1" applyFont="1" applyFill="1" applyBorder="1" applyAlignment="1" applyProtection="1">
      <alignment horizontal="center"/>
      <protection/>
    </xf>
    <xf numFmtId="197" fontId="14" fillId="0" borderId="15" xfId="0" applyNumberFormat="1" applyFont="1" applyBorder="1" applyAlignment="1" applyProtection="1">
      <alignment horizontal="center"/>
      <protection/>
    </xf>
    <xf numFmtId="197" fontId="14" fillId="0" borderId="0" xfId="0" applyNumberFormat="1" applyFont="1" applyBorder="1" applyAlignment="1" applyProtection="1">
      <alignment horizontal="center"/>
      <protection/>
    </xf>
    <xf numFmtId="197" fontId="4" fillId="0" borderId="14" xfId="0" applyNumberFormat="1" applyFont="1" applyBorder="1" applyAlignment="1" applyProtection="1">
      <alignment horizontal="center"/>
      <protection/>
    </xf>
    <xf numFmtId="192" fontId="14" fillId="0" borderId="0" xfId="0" applyFont="1" applyFill="1" applyBorder="1" applyAlignment="1" applyProtection="1">
      <alignment/>
      <protection/>
    </xf>
    <xf numFmtId="192" fontId="12" fillId="0" borderId="14" xfId="0" applyFont="1" applyFill="1" applyBorder="1" applyAlignment="1">
      <alignment horizontal="center"/>
    </xf>
    <xf numFmtId="198" fontId="21" fillId="0" borderId="15" xfId="0" applyNumberFormat="1" applyFont="1" applyBorder="1" applyAlignment="1" applyProtection="1">
      <alignment horizontal="center"/>
      <protection locked="0"/>
    </xf>
    <xf numFmtId="192" fontId="12" fillId="0" borderId="20" xfId="0" applyFont="1" applyFill="1" applyBorder="1" applyAlignment="1" applyProtection="1" quotePrefix="1">
      <alignment horizontal="center"/>
      <protection/>
    </xf>
    <xf numFmtId="192" fontId="12" fillId="0" borderId="21" xfId="0" applyFont="1" applyFill="1" applyBorder="1" applyAlignment="1">
      <alignment horizontal="center"/>
    </xf>
    <xf numFmtId="197" fontId="12" fillId="0" borderId="21" xfId="0" applyNumberFormat="1" applyFont="1" applyFill="1" applyBorder="1" applyAlignment="1" applyProtection="1">
      <alignment horizontal="center"/>
      <protection/>
    </xf>
    <xf numFmtId="192" fontId="12" fillId="0" borderId="10" xfId="0" applyFont="1" applyFill="1" applyBorder="1" applyAlignment="1" applyProtection="1" quotePrefix="1">
      <alignment horizontal="centerContinuous"/>
      <protection/>
    </xf>
    <xf numFmtId="192" fontId="12" fillId="0" borderId="18" xfId="0" applyFont="1" applyFill="1" applyBorder="1" applyAlignment="1">
      <alignment horizontal="center"/>
    </xf>
    <xf numFmtId="192" fontId="12" fillId="0" borderId="14" xfId="0" applyFont="1" applyFill="1" applyBorder="1" applyAlignment="1" applyProtection="1">
      <alignment horizontal="center"/>
      <protection/>
    </xf>
    <xf numFmtId="192" fontId="12" fillId="0" borderId="14" xfId="0" applyFont="1" applyFill="1" applyBorder="1" applyAlignment="1" applyProtection="1" quotePrefix="1">
      <alignment horizontal="center"/>
      <protection/>
    </xf>
    <xf numFmtId="192" fontId="4" fillId="0" borderId="11" xfId="0" applyFont="1" applyBorder="1" applyAlignment="1" applyProtection="1">
      <alignment horizontal="center"/>
      <protection/>
    </xf>
    <xf numFmtId="192" fontId="14" fillId="0" borderId="0" xfId="0" applyFont="1" applyBorder="1" applyAlignment="1" applyProtection="1">
      <alignment horizontal="center"/>
      <protection hidden="1"/>
    </xf>
    <xf numFmtId="197" fontId="4" fillId="0" borderId="0" xfId="0" applyNumberFormat="1" applyFont="1" applyAlignment="1" applyProtection="1">
      <alignment/>
      <protection/>
    </xf>
    <xf numFmtId="192" fontId="19" fillId="0" borderId="0" xfId="0" applyFont="1" applyBorder="1" applyAlignment="1">
      <alignment horizontal="left"/>
    </xf>
    <xf numFmtId="192" fontId="1" fillId="0" borderId="14" xfId="0" applyFont="1" applyBorder="1" applyAlignment="1">
      <alignment/>
    </xf>
    <xf numFmtId="192" fontId="1" fillId="0" borderId="20" xfId="0" applyFont="1" applyBorder="1" applyAlignment="1">
      <alignment/>
    </xf>
    <xf numFmtId="192" fontId="4" fillId="0" borderId="0" xfId="0" applyFont="1" applyFill="1" applyBorder="1" applyAlignment="1">
      <alignment/>
    </xf>
    <xf numFmtId="192" fontId="1" fillId="0" borderId="0" xfId="0" applyFont="1" applyBorder="1" applyAlignment="1">
      <alignment/>
    </xf>
    <xf numFmtId="192" fontId="12" fillId="0" borderId="22" xfId="0" applyFont="1" applyFill="1" applyBorder="1" applyAlignment="1" applyProtection="1">
      <alignment/>
      <protection/>
    </xf>
    <xf numFmtId="192" fontId="12" fillId="0" borderId="22" xfId="0" applyFont="1" applyFill="1" applyBorder="1" applyAlignment="1" applyProtection="1" quotePrefix="1">
      <alignment/>
      <protection/>
    </xf>
    <xf numFmtId="192" fontId="24" fillId="0" borderId="0" xfId="0" applyNumberFormat="1" applyFont="1" applyFill="1" applyBorder="1" applyAlignment="1" applyProtection="1">
      <alignment/>
      <protection/>
    </xf>
    <xf numFmtId="192" fontId="1" fillId="0" borderId="0" xfId="0" applyNumberFormat="1" applyFont="1" applyAlignment="1" applyProtection="1">
      <alignment horizontal="left"/>
      <protection/>
    </xf>
    <xf numFmtId="192" fontId="24" fillId="0" borderId="0" xfId="0" applyNumberFormat="1" applyFont="1" applyFill="1" applyBorder="1" applyAlignment="1" applyProtection="1" quotePrefix="1">
      <alignment horizontal="center"/>
      <protection/>
    </xf>
    <xf numFmtId="192" fontId="4" fillId="0" borderId="22" xfId="0" applyNumberFormat="1" applyFont="1" applyBorder="1" applyAlignment="1" applyProtection="1">
      <alignment/>
      <protection/>
    </xf>
    <xf numFmtId="192" fontId="4" fillId="0" borderId="22" xfId="0" applyNumberFormat="1" applyFont="1" applyBorder="1" applyAlignment="1" applyProtection="1">
      <alignment horizontal="center"/>
      <protection/>
    </xf>
    <xf numFmtId="192" fontId="4" fillId="0" borderId="22" xfId="0" applyFont="1" applyBorder="1" applyAlignment="1" applyProtection="1" quotePrefix="1">
      <alignment horizontal="center"/>
      <protection/>
    </xf>
    <xf numFmtId="192" fontId="13" fillId="0" borderId="22" xfId="0" applyNumberFormat="1" applyFont="1" applyBorder="1" applyAlignment="1" applyProtection="1">
      <alignment/>
      <protection/>
    </xf>
    <xf numFmtId="192" fontId="4" fillId="0" borderId="19" xfId="0" applyFont="1" applyBorder="1" applyAlignment="1" applyProtection="1">
      <alignment horizontal="center"/>
      <protection/>
    </xf>
    <xf numFmtId="192" fontId="4" fillId="0" borderId="22" xfId="0" applyNumberFormat="1" applyFont="1" applyBorder="1" applyAlignment="1" applyProtection="1" quotePrefix="1">
      <alignment horizontal="center"/>
      <protection/>
    </xf>
    <xf numFmtId="192" fontId="12" fillId="0" borderId="22" xfId="0" applyFont="1" applyFill="1" applyBorder="1" applyAlignment="1" applyProtection="1">
      <alignment horizontal="right"/>
      <protection/>
    </xf>
    <xf numFmtId="192" fontId="4" fillId="0" borderId="22" xfId="0" applyFont="1" applyBorder="1" applyAlignment="1" applyProtection="1">
      <alignment/>
      <protection/>
    </xf>
    <xf numFmtId="192" fontId="4" fillId="0" borderId="22" xfId="0" applyNumberFormat="1" applyFont="1" applyBorder="1" applyAlignment="1" applyProtection="1">
      <alignment horizontal="left"/>
      <protection/>
    </xf>
    <xf numFmtId="192" fontId="30" fillId="0" borderId="10" xfId="0" applyNumberFormat="1" applyFont="1" applyFill="1" applyBorder="1" applyAlignment="1" applyProtection="1">
      <alignment/>
      <protection/>
    </xf>
    <xf numFmtId="192" fontId="4" fillId="0" borderId="13" xfId="0" applyNumberFormat="1" applyFont="1" applyBorder="1" applyAlignment="1" applyProtection="1">
      <alignment horizontal="center"/>
      <protection/>
    </xf>
    <xf numFmtId="192" fontId="4" fillId="0" borderId="19" xfId="0" applyFont="1" applyBorder="1" applyAlignment="1" applyProtection="1" quotePrefix="1">
      <alignment horizontal="center"/>
      <protection/>
    </xf>
    <xf numFmtId="192" fontId="4" fillId="0" borderId="19" xfId="0" applyNumberFormat="1" applyFont="1" applyBorder="1" applyAlignment="1" applyProtection="1">
      <alignment horizontal="left"/>
      <protection/>
    </xf>
    <xf numFmtId="192" fontId="4" fillId="0" borderId="19" xfId="0" applyNumberFormat="1" applyFont="1" applyBorder="1" applyAlignment="1" applyProtection="1" quotePrefix="1">
      <alignment horizontal="center"/>
      <protection/>
    </xf>
    <xf numFmtId="192" fontId="12" fillId="0" borderId="21" xfId="0" applyNumberFormat="1" applyFont="1" applyFill="1" applyBorder="1" applyAlignment="1" applyProtection="1">
      <alignment horizontal="center"/>
      <protection/>
    </xf>
    <xf numFmtId="192" fontId="4" fillId="0" borderId="21" xfId="0" applyFont="1" applyFill="1" applyBorder="1" applyAlignment="1" applyProtection="1">
      <alignment horizontal="center"/>
      <protection/>
    </xf>
    <xf numFmtId="192" fontId="4" fillId="0" borderId="11" xfId="0" applyFont="1" applyBorder="1" applyAlignment="1" applyProtection="1">
      <alignment/>
      <protection/>
    </xf>
    <xf numFmtId="192" fontId="14" fillId="0" borderId="15" xfId="0" applyFont="1" applyBorder="1" applyAlignment="1" applyProtection="1">
      <alignment/>
      <protection hidden="1"/>
    </xf>
    <xf numFmtId="198" fontId="0" fillId="0" borderId="0" xfId="0" applyNumberFormat="1" applyAlignment="1">
      <alignment/>
    </xf>
    <xf numFmtId="197" fontId="0" fillId="0" borderId="0" xfId="0" applyNumberFormat="1" applyAlignment="1">
      <alignment/>
    </xf>
    <xf numFmtId="192" fontId="12" fillId="0" borderId="20" xfId="0" applyFont="1" applyFill="1" applyBorder="1" applyAlignment="1" applyProtection="1">
      <alignment/>
      <protection/>
    </xf>
    <xf numFmtId="192" fontId="0" fillId="0" borderId="19" xfId="0" applyBorder="1" applyAlignment="1">
      <alignment/>
    </xf>
    <xf numFmtId="192" fontId="13" fillId="0" borderId="14" xfId="0" applyNumberFormat="1" applyFont="1" applyFill="1" applyBorder="1" applyAlignment="1" applyProtection="1">
      <alignment/>
      <protection locked="0"/>
    </xf>
    <xf numFmtId="192" fontId="13" fillId="0" borderId="14" xfId="0" applyNumberFormat="1" applyFont="1" applyFill="1" applyBorder="1" applyAlignment="1" applyProtection="1" quotePrefix="1">
      <alignment horizontal="left"/>
      <protection locked="0"/>
    </xf>
    <xf numFmtId="192" fontId="13" fillId="0" borderId="20" xfId="0" applyNumberFormat="1" applyFont="1" applyFill="1" applyBorder="1" applyAlignment="1" applyProtection="1">
      <alignment/>
      <protection locked="0"/>
    </xf>
    <xf numFmtId="192" fontId="13" fillId="0" borderId="14" xfId="0" applyNumberFormat="1" applyFont="1" applyFill="1" applyBorder="1" applyAlignment="1" applyProtection="1">
      <alignment/>
      <protection locked="0"/>
    </xf>
    <xf numFmtId="192" fontId="13" fillId="0" borderId="14" xfId="0" applyNumberFormat="1" applyFont="1" applyFill="1" applyBorder="1" applyAlignment="1" applyProtection="1">
      <alignment horizontal="left"/>
      <protection locked="0"/>
    </xf>
    <xf numFmtId="192" fontId="31" fillId="0" borderId="21" xfId="0" applyNumberFormat="1" applyFont="1" applyFill="1" applyBorder="1" applyAlignment="1" applyProtection="1">
      <alignment horizontal="left"/>
      <protection/>
    </xf>
    <xf numFmtId="192" fontId="33" fillId="0" borderId="21" xfId="0" applyFont="1" applyBorder="1" applyAlignment="1">
      <alignment horizontal="centerContinuous"/>
    </xf>
    <xf numFmtId="192" fontId="33" fillId="0" borderId="21" xfId="0" applyFont="1" applyBorder="1" applyAlignment="1" applyProtection="1">
      <alignment horizontal="centerContinuous"/>
      <protection/>
    </xf>
    <xf numFmtId="192" fontId="35" fillId="0" borderId="14" xfId="0" applyNumberFormat="1" applyFont="1" applyFill="1" applyBorder="1" applyAlignment="1" applyProtection="1" quotePrefix="1">
      <alignment horizontal="left"/>
      <protection/>
    </xf>
    <xf numFmtId="192" fontId="35" fillId="0" borderId="14" xfId="0" applyNumberFormat="1" applyFont="1" applyFill="1" applyBorder="1" applyAlignment="1" applyProtection="1">
      <alignment/>
      <protection/>
    </xf>
    <xf numFmtId="192" fontId="20" fillId="0" borderId="15" xfId="0" applyFont="1" applyBorder="1" applyAlignment="1" applyProtection="1">
      <alignment/>
      <protection locked="0"/>
    </xf>
    <xf numFmtId="192" fontId="12" fillId="0" borderId="22" xfId="0" applyNumberFormat="1" applyFont="1" applyBorder="1" applyAlignment="1" applyProtection="1">
      <alignment horizontal="center"/>
      <protection/>
    </xf>
    <xf numFmtId="192" fontId="24" fillId="0" borderId="0" xfId="0" applyNumberFormat="1" applyFont="1" applyFill="1" applyBorder="1" applyAlignment="1" applyProtection="1">
      <alignment/>
      <protection/>
    </xf>
    <xf numFmtId="1" fontId="14" fillId="0" borderId="15" xfId="68" applyNumberFormat="1" applyFont="1" applyBorder="1" applyAlignment="1" applyProtection="1">
      <alignment/>
      <protection hidden="1"/>
    </xf>
    <xf numFmtId="192" fontId="42" fillId="0" borderId="0" xfId="0" applyFont="1" applyFill="1" applyBorder="1" applyAlignment="1">
      <alignment/>
    </xf>
    <xf numFmtId="192" fontId="41" fillId="0" borderId="0" xfId="0" applyNumberFormat="1" applyFont="1" applyFill="1" applyBorder="1" applyAlignment="1" applyProtection="1">
      <alignment horizontal="center"/>
      <protection/>
    </xf>
    <xf numFmtId="192" fontId="41" fillId="0" borderId="0" xfId="0" applyFont="1" applyFill="1" applyBorder="1" applyAlignment="1" applyProtection="1">
      <alignment horizontal="center"/>
      <protection/>
    </xf>
    <xf numFmtId="192" fontId="42" fillId="0" borderId="0" xfId="0" applyFont="1" applyFill="1" applyBorder="1" applyAlignment="1">
      <alignment horizontal="centerContinuous"/>
    </xf>
    <xf numFmtId="192" fontId="41" fillId="0" borderId="0" xfId="0" applyNumberFormat="1" applyFont="1" applyFill="1" applyBorder="1" applyAlignment="1" applyProtection="1">
      <alignment/>
      <protection/>
    </xf>
    <xf numFmtId="197" fontId="4" fillId="0" borderId="12" xfId="0" applyNumberFormat="1" applyFont="1" applyBorder="1" applyAlignment="1" applyProtection="1">
      <alignment horizontal="center"/>
      <protection hidden="1"/>
    </xf>
    <xf numFmtId="192" fontId="11" fillId="35" borderId="18" xfId="0" applyFont="1" applyFill="1" applyBorder="1" applyAlignment="1">
      <alignment/>
    </xf>
    <xf numFmtId="192" fontId="11" fillId="35" borderId="14" xfId="0" applyFont="1" applyFill="1" applyBorder="1" applyAlignment="1">
      <alignment/>
    </xf>
    <xf numFmtId="192" fontId="11" fillId="35" borderId="20" xfId="0" applyFont="1" applyFill="1" applyBorder="1" applyAlignment="1">
      <alignment/>
    </xf>
    <xf numFmtId="192" fontId="11" fillId="35" borderId="13" xfId="0" applyFont="1" applyFill="1" applyBorder="1" applyAlignment="1">
      <alignment/>
    </xf>
    <xf numFmtId="192" fontId="11" fillId="35" borderId="16" xfId="0" applyFont="1" applyFill="1" applyBorder="1" applyAlignment="1">
      <alignment/>
    </xf>
    <xf numFmtId="192" fontId="11" fillId="35" borderId="24" xfId="0" applyFont="1" applyFill="1" applyBorder="1" applyAlignment="1">
      <alignment/>
    </xf>
    <xf numFmtId="192" fontId="12" fillId="35" borderId="18" xfId="0" applyNumberFormat="1" applyFont="1" applyFill="1" applyBorder="1" applyAlignment="1" applyProtection="1" quotePrefix="1">
      <alignment horizontal="left"/>
      <protection/>
    </xf>
    <xf numFmtId="192" fontId="4" fillId="35" borderId="12" xfId="0" applyFont="1" applyFill="1" applyBorder="1" applyAlignment="1">
      <alignment/>
    </xf>
    <xf numFmtId="192" fontId="12" fillId="35" borderId="14" xfId="0" applyNumberFormat="1" applyFont="1" applyFill="1" applyBorder="1" applyAlignment="1" applyProtection="1" quotePrefix="1">
      <alignment horizontal="left"/>
      <protection/>
    </xf>
    <xf numFmtId="192" fontId="4" fillId="35" borderId="15" xfId="0" applyFont="1" applyFill="1" applyBorder="1" applyAlignment="1">
      <alignment/>
    </xf>
    <xf numFmtId="192" fontId="4" fillId="35" borderId="14" xfId="0" applyFont="1" applyFill="1" applyBorder="1" applyAlignment="1">
      <alignment/>
    </xf>
    <xf numFmtId="192" fontId="4" fillId="35" borderId="17" xfId="0" applyFont="1" applyFill="1" applyBorder="1" applyAlignment="1">
      <alignment/>
    </xf>
    <xf numFmtId="192" fontId="12" fillId="35" borderId="18" xfId="0" applyNumberFormat="1" applyFont="1" applyFill="1" applyBorder="1" applyAlignment="1" applyProtection="1">
      <alignment/>
      <protection/>
    </xf>
    <xf numFmtId="192" fontId="12" fillId="35" borderId="18" xfId="0" applyNumberFormat="1" applyFont="1" applyFill="1" applyBorder="1" applyAlignment="1" applyProtection="1">
      <alignment horizontal="center"/>
      <protection/>
    </xf>
    <xf numFmtId="192" fontId="12" fillId="35" borderId="11" xfId="0" applyNumberFormat="1" applyFont="1" applyFill="1" applyBorder="1" applyAlignment="1" applyProtection="1" quotePrefix="1">
      <alignment horizontal="center"/>
      <protection/>
    </xf>
    <xf numFmtId="192" fontId="12" fillId="35" borderId="11" xfId="0" applyNumberFormat="1" applyFont="1" applyFill="1" applyBorder="1" applyAlignment="1" applyProtection="1">
      <alignment horizontal="center"/>
      <protection/>
    </xf>
    <xf numFmtId="192" fontId="12" fillId="35" borderId="10" xfId="0" applyNumberFormat="1" applyFont="1" applyFill="1" applyBorder="1" applyAlignment="1" applyProtection="1">
      <alignment horizontal="center"/>
      <protection/>
    </xf>
    <xf numFmtId="192" fontId="12" fillId="35" borderId="19" xfId="0" applyNumberFormat="1" applyFont="1" applyFill="1" applyBorder="1" applyAlignment="1" applyProtection="1" quotePrefix="1">
      <alignment horizontal="center"/>
      <protection/>
    </xf>
    <xf numFmtId="192" fontId="12" fillId="35" borderId="23" xfId="0" applyNumberFormat="1" applyFont="1" applyFill="1" applyBorder="1" applyAlignment="1" applyProtection="1">
      <alignment horizontal="center"/>
      <protection/>
    </xf>
    <xf numFmtId="192" fontId="12" fillId="35" borderId="18" xfId="0" applyNumberFormat="1" applyFont="1" applyFill="1" applyBorder="1" applyAlignment="1" applyProtection="1">
      <alignment horizontal="centerContinuous"/>
      <protection/>
    </xf>
    <xf numFmtId="192" fontId="12" fillId="35" borderId="11" xfId="0" applyNumberFormat="1" applyFont="1" applyFill="1" applyBorder="1" applyAlignment="1" applyProtection="1">
      <alignment horizontal="centerContinuous"/>
      <protection/>
    </xf>
    <xf numFmtId="192" fontId="4" fillId="35" borderId="11" xfId="0" applyFont="1" applyFill="1" applyBorder="1" applyAlignment="1" applyProtection="1">
      <alignment horizontal="centerContinuous"/>
      <protection/>
    </xf>
    <xf numFmtId="192" fontId="4" fillId="35" borderId="12" xfId="0" applyFont="1" applyFill="1" applyBorder="1" applyAlignment="1" applyProtection="1">
      <alignment horizontal="centerContinuous"/>
      <protection/>
    </xf>
    <xf numFmtId="192" fontId="12" fillId="35" borderId="10" xfId="0" applyNumberFormat="1" applyFont="1" applyFill="1" applyBorder="1" applyAlignment="1" applyProtection="1">
      <alignment/>
      <protection/>
    </xf>
    <xf numFmtId="192" fontId="12" fillId="35" borderId="19" xfId="0" applyNumberFormat="1" applyFont="1" applyFill="1" applyBorder="1" applyAlignment="1" applyProtection="1">
      <alignment horizontal="center"/>
      <protection/>
    </xf>
    <xf numFmtId="192" fontId="4" fillId="35" borderId="19" xfId="0" applyNumberFormat="1" applyFont="1" applyFill="1" applyBorder="1" applyAlignment="1" applyProtection="1">
      <alignment horizontal="center"/>
      <protection/>
    </xf>
    <xf numFmtId="192" fontId="4" fillId="35" borderId="23" xfId="0" applyNumberFormat="1" applyFont="1" applyFill="1" applyBorder="1" applyAlignment="1" applyProtection="1">
      <alignment horizontal="center"/>
      <protection/>
    </xf>
    <xf numFmtId="192" fontId="12" fillId="35" borderId="20" xfId="0" applyNumberFormat="1" applyFont="1" applyFill="1" applyBorder="1" applyAlignment="1" applyProtection="1">
      <alignment horizontal="center"/>
      <protection/>
    </xf>
    <xf numFmtId="192" fontId="4" fillId="35" borderId="21" xfId="0" applyNumberFormat="1" applyFont="1" applyFill="1" applyBorder="1" applyAlignment="1" applyProtection="1">
      <alignment horizontal="center"/>
      <protection/>
    </xf>
    <xf numFmtId="192" fontId="4" fillId="35" borderId="17" xfId="0" applyNumberFormat="1" applyFont="1" applyFill="1" applyBorder="1" applyAlignment="1" applyProtection="1">
      <alignment horizontal="center"/>
      <protection/>
    </xf>
    <xf numFmtId="192" fontId="12" fillId="35" borderId="18" xfId="0" applyNumberFormat="1" applyFont="1" applyFill="1" applyBorder="1" applyAlignment="1" applyProtection="1">
      <alignment/>
      <protection/>
    </xf>
    <xf numFmtId="192" fontId="12" fillId="35" borderId="22" xfId="0" applyNumberFormat="1" applyFont="1" applyFill="1" applyBorder="1" applyAlignment="1" applyProtection="1">
      <alignment horizontal="center"/>
      <protection/>
    </xf>
    <xf numFmtId="192" fontId="4" fillId="35" borderId="10" xfId="0" applyFont="1" applyFill="1" applyBorder="1" applyAlignment="1">
      <alignment/>
    </xf>
    <xf numFmtId="192" fontId="4" fillId="35" borderId="22" xfId="0" applyFont="1" applyFill="1" applyBorder="1" applyAlignment="1">
      <alignment horizontal="center"/>
    </xf>
    <xf numFmtId="192" fontId="2" fillId="0" borderId="20" xfId="0" applyFont="1" applyBorder="1" applyAlignment="1">
      <alignment/>
    </xf>
    <xf numFmtId="192" fontId="2" fillId="0" borderId="21" xfId="0" applyFont="1" applyBorder="1" applyAlignment="1">
      <alignment/>
    </xf>
    <xf numFmtId="192" fontId="12" fillId="35" borderId="20" xfId="0" applyNumberFormat="1" applyFont="1" applyFill="1" applyBorder="1" applyAlignment="1" applyProtection="1" quotePrefix="1">
      <alignment horizontal="left"/>
      <protection/>
    </xf>
    <xf numFmtId="192" fontId="12" fillId="35" borderId="21" xfId="0" applyNumberFormat="1" applyFont="1" applyFill="1" applyBorder="1" applyAlignment="1" applyProtection="1">
      <alignment/>
      <protection/>
    </xf>
    <xf numFmtId="192" fontId="12" fillId="35" borderId="10" xfId="0" applyNumberFormat="1" applyFont="1" applyFill="1" applyBorder="1" applyAlignment="1" applyProtection="1">
      <alignment horizontal="centerContinuous"/>
      <protection/>
    </xf>
    <xf numFmtId="192" fontId="12" fillId="35" borderId="19" xfId="0" applyNumberFormat="1" applyFont="1" applyFill="1" applyBorder="1" applyAlignment="1" applyProtection="1">
      <alignment horizontal="centerContinuous"/>
      <protection/>
    </xf>
    <xf numFmtId="192" fontId="12" fillId="35" borderId="23" xfId="0" applyNumberFormat="1" applyFont="1" applyFill="1" applyBorder="1" applyAlignment="1" applyProtection="1">
      <alignment horizontal="centerContinuous"/>
      <protection/>
    </xf>
    <xf numFmtId="192" fontId="4" fillId="35" borderId="10" xfId="0" applyFont="1" applyFill="1" applyBorder="1" applyAlignment="1">
      <alignment horizontal="centerContinuous"/>
    </xf>
    <xf numFmtId="192" fontId="4" fillId="35" borderId="19" xfId="0" applyFont="1" applyFill="1" applyBorder="1" applyAlignment="1">
      <alignment horizontal="centerContinuous"/>
    </xf>
    <xf numFmtId="192" fontId="4" fillId="35" borderId="19" xfId="0" applyFont="1" applyFill="1" applyBorder="1" applyAlignment="1" applyProtection="1">
      <alignment horizontal="centerContinuous"/>
      <protection/>
    </xf>
    <xf numFmtId="192" fontId="4" fillId="35" borderId="23" xfId="0" applyFont="1" applyFill="1" applyBorder="1" applyAlignment="1" applyProtection="1">
      <alignment horizontal="centerContinuous"/>
      <protection/>
    </xf>
    <xf numFmtId="192" fontId="12" fillId="35" borderId="18" xfId="0" applyFont="1" applyFill="1" applyBorder="1" applyAlignment="1" applyProtection="1" quotePrefix="1">
      <alignment horizontal="center"/>
      <protection/>
    </xf>
    <xf numFmtId="192" fontId="12" fillId="35" borderId="13" xfId="0" applyNumberFormat="1" applyFont="1" applyFill="1" applyBorder="1" applyAlignment="1" applyProtection="1">
      <alignment horizontal="center"/>
      <protection/>
    </xf>
    <xf numFmtId="192" fontId="12" fillId="35" borderId="20" xfId="0" applyNumberFormat="1" applyFont="1" applyFill="1" applyBorder="1" applyAlignment="1" applyProtection="1">
      <alignment/>
      <protection/>
    </xf>
    <xf numFmtId="192" fontId="12" fillId="35" borderId="20" xfId="0" applyFont="1" applyFill="1" applyBorder="1" applyAlignment="1" applyProtection="1">
      <alignment horizontal="center"/>
      <protection/>
    </xf>
    <xf numFmtId="192" fontId="12" fillId="35" borderId="24" xfId="0" applyNumberFormat="1" applyFont="1" applyFill="1" applyBorder="1" applyAlignment="1" applyProtection="1">
      <alignment horizontal="center"/>
      <protection/>
    </xf>
    <xf numFmtId="192" fontId="4" fillId="35" borderId="11" xfId="0" applyFont="1" applyFill="1" applyBorder="1" applyAlignment="1">
      <alignment/>
    </xf>
    <xf numFmtId="192" fontId="12" fillId="35" borderId="11" xfId="0" applyFont="1" applyFill="1" applyBorder="1" applyAlignment="1">
      <alignment horizontal="right"/>
    </xf>
    <xf numFmtId="192" fontId="4" fillId="35" borderId="0" xfId="0" applyNumberFormat="1" applyFont="1" applyFill="1" applyBorder="1" applyAlignment="1" applyProtection="1">
      <alignment/>
      <protection/>
    </xf>
    <xf numFmtId="192" fontId="12" fillId="35" borderId="0" xfId="0" applyFont="1" applyFill="1" applyBorder="1" applyAlignment="1">
      <alignment horizontal="right"/>
    </xf>
    <xf numFmtId="192" fontId="12" fillId="35" borderId="21" xfId="0" applyFont="1" applyFill="1" applyBorder="1" applyAlignment="1">
      <alignment horizontal="right"/>
    </xf>
    <xf numFmtId="192" fontId="12" fillId="35" borderId="19" xfId="0" applyFont="1" applyFill="1" applyBorder="1" applyAlignment="1">
      <alignment/>
    </xf>
    <xf numFmtId="192" fontId="12" fillId="35" borderId="10" xfId="0" applyFont="1" applyFill="1" applyBorder="1" applyAlignment="1" applyProtection="1">
      <alignment horizontal="center"/>
      <protection/>
    </xf>
    <xf numFmtId="192" fontId="12" fillId="35" borderId="19" xfId="0" applyFont="1" applyFill="1" applyBorder="1" applyAlignment="1" applyProtection="1">
      <alignment horizontal="center"/>
      <protection/>
    </xf>
    <xf numFmtId="192" fontId="12" fillId="35" borderId="14" xfId="0" applyFont="1" applyFill="1" applyBorder="1" applyAlignment="1" applyProtection="1">
      <alignment/>
      <protection/>
    </xf>
    <xf numFmtId="192" fontId="4" fillId="35" borderId="0" xfId="0" applyFont="1" applyFill="1" applyBorder="1" applyAlignment="1">
      <alignment/>
    </xf>
    <xf numFmtId="192" fontId="12" fillId="35" borderId="20" xfId="0" applyFont="1" applyFill="1" applyBorder="1" applyAlignment="1" applyProtection="1">
      <alignment/>
      <protection/>
    </xf>
    <xf numFmtId="192" fontId="4" fillId="35" borderId="21" xfId="0" applyFont="1" applyFill="1" applyBorder="1" applyAlignment="1">
      <alignment/>
    </xf>
    <xf numFmtId="192" fontId="1" fillId="35" borderId="10" xfId="0" applyNumberFormat="1" applyFont="1" applyFill="1" applyBorder="1" applyAlignment="1" applyProtection="1">
      <alignment horizontal="centerContinuous"/>
      <protection/>
    </xf>
    <xf numFmtId="192" fontId="1" fillId="35" borderId="19" xfId="0" applyNumberFormat="1" applyFont="1" applyFill="1" applyBorder="1" applyAlignment="1" applyProtection="1">
      <alignment horizontal="centerContinuous"/>
      <protection/>
    </xf>
    <xf numFmtId="192" fontId="1" fillId="35" borderId="23" xfId="0" applyNumberFormat="1" applyFont="1" applyFill="1" applyBorder="1" applyAlignment="1" applyProtection="1">
      <alignment horizontal="centerContinuous"/>
      <protection/>
    </xf>
    <xf numFmtId="192" fontId="12" fillId="35" borderId="11" xfId="0" applyNumberFormat="1" applyFont="1" applyFill="1" applyBorder="1" applyAlignment="1" applyProtection="1">
      <alignment/>
      <protection/>
    </xf>
    <xf numFmtId="192" fontId="12" fillId="35" borderId="11" xfId="0" applyNumberFormat="1" applyFont="1" applyFill="1" applyBorder="1" applyAlignment="1" applyProtection="1">
      <alignment/>
      <protection/>
    </xf>
    <xf numFmtId="192" fontId="12" fillId="35" borderId="12" xfId="0" applyNumberFormat="1" applyFont="1" applyFill="1" applyBorder="1" applyAlignment="1" applyProtection="1">
      <alignment/>
      <protection/>
    </xf>
    <xf numFmtId="192" fontId="4" fillId="35" borderId="24" xfId="0" applyFont="1" applyFill="1" applyBorder="1" applyAlignment="1">
      <alignment horizontal="center"/>
    </xf>
    <xf numFmtId="192" fontId="20" fillId="0" borderId="20" xfId="0" applyNumberFormat="1" applyFont="1" applyFill="1" applyBorder="1" applyAlignment="1" applyProtection="1">
      <alignment/>
      <protection locked="0"/>
    </xf>
    <xf numFmtId="198" fontId="20" fillId="0" borderId="17" xfId="0" applyNumberFormat="1" applyFont="1" applyBorder="1" applyAlignment="1" applyProtection="1">
      <alignment/>
      <protection locked="0"/>
    </xf>
    <xf numFmtId="192" fontId="13" fillId="0" borderId="20" xfId="0" applyNumberFormat="1" applyFont="1" applyFill="1" applyBorder="1" applyAlignment="1" applyProtection="1">
      <alignment/>
      <protection locked="0"/>
    </xf>
    <xf numFmtId="198" fontId="13" fillId="0" borderId="17" xfId="0" applyNumberFormat="1" applyFont="1" applyBorder="1" applyAlignment="1" applyProtection="1">
      <alignment/>
      <protection locked="0"/>
    </xf>
    <xf numFmtId="192" fontId="12" fillId="35" borderId="13" xfId="0" applyNumberFormat="1" applyFont="1" applyFill="1" applyBorder="1" applyAlignment="1" applyProtection="1">
      <alignment/>
      <protection/>
    </xf>
    <xf numFmtId="192" fontId="12" fillId="35" borderId="10" xfId="0" applyNumberFormat="1" applyFont="1" applyFill="1" applyBorder="1" applyAlignment="1" applyProtection="1" quotePrefix="1">
      <alignment horizontal="centerContinuous"/>
      <protection/>
    </xf>
    <xf numFmtId="192" fontId="12" fillId="35" borderId="19" xfId="0" applyNumberFormat="1" applyFont="1" applyFill="1" applyBorder="1" applyAlignment="1" applyProtection="1" quotePrefix="1">
      <alignment horizontal="centerContinuous"/>
      <protection/>
    </xf>
    <xf numFmtId="192" fontId="12" fillId="35" borderId="23" xfId="0" applyNumberFormat="1" applyFont="1" applyFill="1" applyBorder="1" applyAlignment="1" applyProtection="1" quotePrefix="1">
      <alignment horizontal="centerContinuous"/>
      <protection/>
    </xf>
    <xf numFmtId="192" fontId="12" fillId="35" borderId="22" xfId="0" applyNumberFormat="1" applyFont="1" applyFill="1" applyBorder="1" applyAlignment="1" applyProtection="1">
      <alignment/>
      <protection/>
    </xf>
    <xf numFmtId="192" fontId="4" fillId="35" borderId="24" xfId="0" applyFont="1" applyFill="1" applyBorder="1" applyAlignment="1" quotePrefix="1">
      <alignment horizontal="center"/>
    </xf>
    <xf numFmtId="0" fontId="24" fillId="0" borderId="13" xfId="0" applyNumberFormat="1" applyFont="1" applyFill="1" applyBorder="1" applyAlignment="1" applyProtection="1" quotePrefix="1">
      <alignment/>
      <protection/>
    </xf>
    <xf numFmtId="192" fontId="24" fillId="0" borderId="22" xfId="0" applyFont="1" applyFill="1" applyBorder="1" applyAlignment="1" applyProtection="1" quotePrefix="1">
      <alignment horizontal="left"/>
      <protection/>
    </xf>
    <xf numFmtId="49" fontId="1" fillId="0" borderId="22" xfId="0" applyNumberFormat="1" applyFont="1" applyBorder="1" applyAlignment="1">
      <alignment/>
    </xf>
    <xf numFmtId="192" fontId="12" fillId="35" borderId="22" xfId="0" applyFont="1" applyFill="1" applyBorder="1" applyAlignment="1" applyProtection="1" quotePrefix="1">
      <alignment horizontal="center"/>
      <protection/>
    </xf>
    <xf numFmtId="192" fontId="12" fillId="35" borderId="22" xfId="0" applyFont="1" applyFill="1" applyBorder="1" applyAlignment="1" applyProtection="1">
      <alignment horizontal="center"/>
      <protection/>
    </xf>
    <xf numFmtId="192" fontId="4" fillId="35" borderId="22" xfId="0" applyFont="1" applyFill="1" applyBorder="1" applyAlignment="1" applyProtection="1">
      <alignment horizontal="center"/>
      <protection/>
    </xf>
    <xf numFmtId="192" fontId="30" fillId="35" borderId="13" xfId="0" applyNumberFormat="1" applyFont="1" applyFill="1" applyBorder="1" applyAlignment="1" applyProtection="1">
      <alignment/>
      <protection/>
    </xf>
    <xf numFmtId="192" fontId="30" fillId="35" borderId="10" xfId="0" applyNumberFormat="1" applyFont="1" applyFill="1" applyBorder="1" applyAlignment="1" applyProtection="1">
      <alignment/>
      <protection/>
    </xf>
    <xf numFmtId="192" fontId="47" fillId="33" borderId="18" xfId="0" applyFont="1" applyFill="1" applyBorder="1" applyAlignment="1">
      <alignment/>
    </xf>
    <xf numFmtId="192" fontId="48" fillId="33" borderId="11" xfId="0" applyFont="1" applyFill="1" applyBorder="1" applyAlignment="1">
      <alignment/>
    </xf>
    <xf numFmtId="192" fontId="48" fillId="33" borderId="12" xfId="0" applyFont="1" applyFill="1" applyBorder="1" applyAlignment="1">
      <alignment/>
    </xf>
    <xf numFmtId="192" fontId="47" fillId="33" borderId="20" xfId="0" applyFont="1" applyFill="1" applyBorder="1" applyAlignment="1">
      <alignment/>
    </xf>
    <xf numFmtId="192" fontId="48" fillId="33" borderId="21" xfId="0" applyFont="1" applyFill="1" applyBorder="1" applyAlignment="1">
      <alignment/>
    </xf>
    <xf numFmtId="192" fontId="48" fillId="33" borderId="17" xfId="0" applyFont="1" applyFill="1" applyBorder="1" applyAlignment="1">
      <alignment/>
    </xf>
    <xf numFmtId="192" fontId="12" fillId="0" borderId="20" xfId="0" applyNumberFormat="1" applyFont="1" applyFill="1" applyBorder="1" applyAlignment="1" applyProtection="1" quotePrefix="1">
      <alignment horizontal="left"/>
      <protection/>
    </xf>
    <xf numFmtId="192" fontId="12" fillId="0" borderId="24" xfId="0" applyNumberFormat="1" applyFont="1" applyFill="1" applyBorder="1" applyAlignment="1" applyProtection="1" quotePrefix="1">
      <alignment horizontal="left"/>
      <protection/>
    </xf>
    <xf numFmtId="9" fontId="20" fillId="0" borderId="0" xfId="68" applyFont="1" applyFill="1" applyBorder="1" applyAlignment="1" applyProtection="1">
      <alignment/>
      <protection locked="0"/>
    </xf>
    <xf numFmtId="192" fontId="4" fillId="0" borderId="21" xfId="0" applyFont="1" applyBorder="1" applyAlignment="1" applyProtection="1">
      <alignment/>
      <protection locked="0"/>
    </xf>
    <xf numFmtId="198" fontId="13" fillId="0" borderId="15" xfId="0" applyNumberFormat="1" applyFont="1" applyFill="1" applyBorder="1" applyAlignment="1" applyProtection="1">
      <alignment/>
      <protection locked="0"/>
    </xf>
    <xf numFmtId="198" fontId="13" fillId="0" borderId="0" xfId="0" applyNumberFormat="1" applyFont="1" applyFill="1" applyBorder="1" applyAlignment="1" applyProtection="1">
      <alignment/>
      <protection locked="0"/>
    </xf>
    <xf numFmtId="192" fontId="13" fillId="0" borderId="20" xfId="0" applyNumberFormat="1" applyFont="1" applyFill="1" applyBorder="1" applyAlignment="1" applyProtection="1">
      <alignment/>
      <protection/>
    </xf>
    <xf numFmtId="192" fontId="13" fillId="0" borderId="24" xfId="0" applyFont="1" applyBorder="1" applyAlignment="1" applyProtection="1">
      <alignment/>
      <protection locked="0"/>
    </xf>
    <xf numFmtId="198" fontId="13" fillId="0" borderId="22" xfId="0" applyNumberFormat="1" applyFont="1" applyFill="1" applyBorder="1" applyAlignment="1" applyProtection="1">
      <alignment horizontal="center"/>
      <protection locked="0"/>
    </xf>
    <xf numFmtId="192" fontId="13" fillId="0" borderId="22" xfId="0" applyFont="1" applyFill="1" applyBorder="1" applyAlignment="1" applyProtection="1">
      <alignment horizontal="center"/>
      <protection locked="0"/>
    </xf>
    <xf numFmtId="197" fontId="13" fillId="0" borderId="22" xfId="0" applyNumberFormat="1" applyFont="1" applyFill="1" applyBorder="1" applyAlignment="1" applyProtection="1">
      <alignment horizontal="center"/>
      <protection locked="0"/>
    </xf>
    <xf numFmtId="198" fontId="13" fillId="0" borderId="22" xfId="0" applyNumberFormat="1" applyFont="1" applyBorder="1" applyAlignment="1" applyProtection="1">
      <alignment horizontal="center"/>
      <protection locked="0"/>
    </xf>
    <xf numFmtId="192" fontId="13" fillId="0" borderId="18" xfId="0" applyFont="1" applyFill="1" applyBorder="1" applyAlignment="1" applyProtection="1">
      <alignment horizontal="center"/>
      <protection locked="0"/>
    </xf>
    <xf numFmtId="197" fontId="13" fillId="0" borderId="11" xfId="0" applyNumberFormat="1" applyFont="1" applyFill="1" applyBorder="1" applyAlignment="1" applyProtection="1">
      <alignment horizontal="center"/>
      <protection locked="0"/>
    </xf>
    <xf numFmtId="198" fontId="13" fillId="0" borderId="11" xfId="0" applyNumberFormat="1" applyFont="1" applyFill="1" applyBorder="1" applyAlignment="1" applyProtection="1">
      <alignment horizontal="center"/>
      <protection locked="0"/>
    </xf>
    <xf numFmtId="192" fontId="13" fillId="0" borderId="14" xfId="0" applyFont="1" applyFill="1" applyBorder="1" applyAlignment="1" applyProtection="1">
      <alignment horizontal="center"/>
      <protection locked="0"/>
    </xf>
    <xf numFmtId="197" fontId="13" fillId="0" borderId="0" xfId="0" applyNumberFormat="1" applyFont="1" applyFill="1" applyBorder="1" applyAlignment="1" applyProtection="1">
      <alignment horizontal="center"/>
      <protection locked="0"/>
    </xf>
    <xf numFmtId="198" fontId="13" fillId="0" borderId="0" xfId="0" applyNumberFormat="1" applyFont="1" applyFill="1" applyBorder="1" applyAlignment="1" applyProtection="1">
      <alignment horizontal="center"/>
      <protection locked="0"/>
    </xf>
    <xf numFmtId="192" fontId="13" fillId="0" borderId="20" xfId="0" applyFont="1" applyFill="1" applyBorder="1" applyAlignment="1" applyProtection="1">
      <alignment horizontal="center"/>
      <protection locked="0"/>
    </xf>
    <xf numFmtId="197" fontId="13" fillId="0" borderId="21" xfId="0" applyNumberFormat="1" applyFont="1" applyFill="1" applyBorder="1" applyAlignment="1" applyProtection="1">
      <alignment horizontal="center"/>
      <protection locked="0"/>
    </xf>
    <xf numFmtId="198" fontId="13" fillId="0" borderId="21" xfId="0" applyNumberFormat="1" applyFont="1" applyFill="1" applyBorder="1" applyAlignment="1" applyProtection="1">
      <alignment horizontal="center"/>
      <protection locked="0"/>
    </xf>
    <xf numFmtId="2" fontId="13" fillId="0" borderId="21" xfId="0" applyNumberFormat="1" applyFont="1" applyFill="1" applyBorder="1" applyAlignment="1" applyProtection="1">
      <alignment horizontal="center"/>
      <protection locked="0"/>
    </xf>
    <xf numFmtId="198" fontId="13" fillId="0" borderId="12" xfId="0" applyNumberFormat="1" applyFont="1" applyBorder="1" applyAlignment="1" applyProtection="1">
      <alignment horizontal="center"/>
      <protection locked="0"/>
    </xf>
    <xf numFmtId="198" fontId="13" fillId="0" borderId="17" xfId="0" applyNumberFormat="1" applyFont="1" applyBorder="1" applyAlignment="1" applyProtection="1">
      <alignment horizontal="center"/>
      <protection locked="0"/>
    </xf>
    <xf numFmtId="197" fontId="13" fillId="0" borderId="12" xfId="0" applyNumberFormat="1" applyFont="1" applyBorder="1" applyAlignment="1" applyProtection="1">
      <alignment horizontal="center"/>
      <protection locked="0"/>
    </xf>
    <xf numFmtId="197" fontId="13" fillId="0" borderId="17" xfId="0" applyNumberFormat="1" applyFont="1" applyBorder="1" applyAlignment="1" applyProtection="1">
      <alignment horizontal="center"/>
      <protection locked="0"/>
    </xf>
    <xf numFmtId="198" fontId="13" fillId="0" borderId="15" xfId="0" applyNumberFormat="1" applyFont="1" applyBorder="1" applyAlignment="1" applyProtection="1">
      <alignment horizontal="center"/>
      <protection locked="0"/>
    </xf>
    <xf numFmtId="192" fontId="13" fillId="0" borderId="21" xfId="0" applyFont="1" applyFill="1" applyBorder="1" applyAlignment="1" applyProtection="1">
      <alignment horizontal="center"/>
      <protection locked="0"/>
    </xf>
    <xf numFmtId="198" fontId="13" fillId="0" borderId="10" xfId="0" applyNumberFormat="1" applyFont="1" applyBorder="1" applyAlignment="1" applyProtection="1">
      <alignment horizontal="center"/>
      <protection locked="0"/>
    </xf>
    <xf numFmtId="192" fontId="49" fillId="0" borderId="0" xfId="0" applyFont="1" applyAlignment="1">
      <alignment/>
    </xf>
    <xf numFmtId="2" fontId="20" fillId="0" borderId="15" xfId="60" applyNumberFormat="1" applyFont="1" applyFill="1" applyBorder="1" applyAlignment="1" applyProtection="1">
      <alignment/>
      <protection locked="0"/>
    </xf>
    <xf numFmtId="197" fontId="20" fillId="0" borderId="14" xfId="0" applyNumberFormat="1" applyFont="1" applyFill="1" applyBorder="1" applyAlignment="1" applyProtection="1">
      <alignment horizontal="right"/>
      <protection locked="0"/>
    </xf>
    <xf numFmtId="192" fontId="12" fillId="0" borderId="21" xfId="0" applyFont="1" applyFill="1" applyBorder="1" applyAlignment="1">
      <alignment/>
    </xf>
    <xf numFmtId="192" fontId="12" fillId="0" borderId="11" xfId="0" applyFont="1" applyFill="1" applyBorder="1" applyAlignment="1">
      <alignment horizontal="center"/>
    </xf>
    <xf numFmtId="192" fontId="4" fillId="0" borderId="14" xfId="0" applyNumberFormat="1" applyFont="1" applyFill="1" applyBorder="1" applyAlignment="1" applyProtection="1">
      <alignment/>
      <protection/>
    </xf>
    <xf numFmtId="192" fontId="4" fillId="0" borderId="24" xfId="0" applyNumberFormat="1" applyFont="1" applyFill="1" applyBorder="1" applyAlignment="1" applyProtection="1">
      <alignment/>
      <protection hidden="1"/>
    </xf>
    <xf numFmtId="192" fontId="4" fillId="0" borderId="0" xfId="0" applyNumberFormat="1" applyFont="1" applyAlignment="1" applyProtection="1">
      <alignment/>
      <protection hidden="1"/>
    </xf>
    <xf numFmtId="192" fontId="12" fillId="0" borderId="19" xfId="0" applyNumberFormat="1" applyFont="1" applyFill="1" applyBorder="1" applyAlignment="1" applyProtection="1">
      <alignment/>
      <protection hidden="1"/>
    </xf>
    <xf numFmtId="192" fontId="13" fillId="0" borderId="0" xfId="0" applyNumberFormat="1" applyFont="1" applyAlignment="1" applyProtection="1">
      <alignment/>
      <protection hidden="1"/>
    </xf>
    <xf numFmtId="192" fontId="4" fillId="0" borderId="15" xfId="0" applyFont="1" applyBorder="1" applyAlignment="1" applyProtection="1">
      <alignment/>
      <protection hidden="1"/>
    </xf>
    <xf numFmtId="192" fontId="4" fillId="0" borderId="23" xfId="0" applyFont="1" applyBorder="1" applyAlignment="1" applyProtection="1">
      <alignment/>
      <protection hidden="1"/>
    </xf>
    <xf numFmtId="192" fontId="4" fillId="0" borderId="0" xfId="0" applyNumberFormat="1" applyFont="1" applyBorder="1" applyAlignment="1" applyProtection="1">
      <alignment/>
      <protection hidden="1"/>
    </xf>
    <xf numFmtId="192" fontId="4" fillId="0" borderId="21" xfId="0" applyNumberFormat="1" applyFont="1" applyBorder="1" applyAlignment="1" applyProtection="1">
      <alignment/>
      <protection hidden="1"/>
    </xf>
    <xf numFmtId="192" fontId="4" fillId="0" borderId="15" xfId="0" applyNumberFormat="1" applyFont="1" applyBorder="1" applyAlignment="1" applyProtection="1">
      <alignment/>
      <protection hidden="1"/>
    </xf>
    <xf numFmtId="192" fontId="4" fillId="0" borderId="17" xfId="0" applyNumberFormat="1" applyFont="1" applyBorder="1" applyAlignment="1" applyProtection="1">
      <alignment/>
      <protection hidden="1"/>
    </xf>
    <xf numFmtId="192" fontId="4" fillId="0" borderId="23" xfId="0" applyNumberFormat="1" applyFont="1" applyBorder="1" applyAlignment="1" applyProtection="1">
      <alignment/>
      <protection hidden="1"/>
    </xf>
    <xf numFmtId="192" fontId="12" fillId="0" borderId="13" xfId="0" applyNumberFormat="1" applyFont="1" applyFill="1" applyBorder="1" applyAlignment="1" applyProtection="1">
      <alignment/>
      <protection hidden="1"/>
    </xf>
    <xf numFmtId="192" fontId="4" fillId="0" borderId="24" xfId="0" applyFont="1" applyBorder="1" applyAlignment="1" applyProtection="1">
      <alignment/>
      <protection hidden="1"/>
    </xf>
    <xf numFmtId="192" fontId="12" fillId="0" borderId="22" xfId="0" applyNumberFormat="1" applyFont="1" applyFill="1" applyBorder="1" applyAlignment="1" applyProtection="1">
      <alignment/>
      <protection hidden="1"/>
    </xf>
    <xf numFmtId="192" fontId="22" fillId="0" borderId="15" xfId="0" applyNumberFormat="1" applyFont="1" applyBorder="1" applyAlignment="1" applyProtection="1">
      <alignment/>
      <protection hidden="1"/>
    </xf>
    <xf numFmtId="192" fontId="12" fillId="0" borderId="15" xfId="0" applyNumberFormat="1" applyFont="1" applyBorder="1" applyAlignment="1" applyProtection="1">
      <alignment/>
      <protection hidden="1"/>
    </xf>
    <xf numFmtId="192" fontId="4" fillId="0" borderId="0" xfId="0" applyFont="1" applyAlignment="1" applyProtection="1">
      <alignment/>
      <protection hidden="1"/>
    </xf>
    <xf numFmtId="192" fontId="12" fillId="0" borderId="12" xfId="0" applyFont="1" applyFill="1" applyBorder="1" applyAlignment="1" applyProtection="1">
      <alignment/>
      <protection hidden="1"/>
    </xf>
    <xf numFmtId="9" fontId="4" fillId="0" borderId="17" xfId="68" applyFont="1" applyBorder="1" applyAlignment="1" applyProtection="1">
      <alignment/>
      <protection hidden="1"/>
    </xf>
    <xf numFmtId="192" fontId="12" fillId="0" borderId="16" xfId="0" applyNumberFormat="1" applyFont="1" applyFill="1" applyBorder="1" applyAlignment="1" applyProtection="1">
      <alignment/>
      <protection hidden="1"/>
    </xf>
    <xf numFmtId="192" fontId="12" fillId="0" borderId="23" xfId="0" applyNumberFormat="1" applyFont="1" applyFill="1" applyBorder="1" applyAlignment="1" applyProtection="1">
      <alignment/>
      <protection hidden="1"/>
    </xf>
    <xf numFmtId="192" fontId="4" fillId="35" borderId="12" xfId="0" applyFont="1" applyFill="1" applyBorder="1" applyAlignment="1" applyProtection="1">
      <alignment/>
      <protection hidden="1"/>
    </xf>
    <xf numFmtId="192" fontId="4" fillId="35" borderId="15" xfId="0" applyNumberFormat="1" applyFont="1" applyFill="1" applyBorder="1" applyAlignment="1" applyProtection="1">
      <alignment/>
      <protection hidden="1"/>
    </xf>
    <xf numFmtId="192" fontId="4" fillId="35" borderId="17" xfId="0" applyNumberFormat="1" applyFont="1" applyFill="1" applyBorder="1" applyAlignment="1" applyProtection="1">
      <alignment/>
      <protection hidden="1"/>
    </xf>
    <xf numFmtId="198" fontId="4" fillId="0" borderId="15" xfId="0" applyNumberFormat="1" applyFont="1" applyBorder="1" applyAlignment="1" applyProtection="1">
      <alignment/>
      <protection hidden="1"/>
    </xf>
    <xf numFmtId="192" fontId="12" fillId="35" borderId="23" xfId="0" applyFont="1" applyFill="1" applyBorder="1" applyAlignment="1" applyProtection="1">
      <alignment horizontal="center"/>
      <protection hidden="1"/>
    </xf>
    <xf numFmtId="192" fontId="12" fillId="0" borderId="15" xfId="0" applyFont="1" applyFill="1" applyBorder="1" applyAlignment="1" applyProtection="1">
      <alignment horizontal="right"/>
      <protection hidden="1"/>
    </xf>
    <xf numFmtId="192" fontId="4" fillId="0" borderId="17" xfId="0" applyFont="1" applyFill="1" applyBorder="1" applyAlignment="1" applyProtection="1">
      <alignment/>
      <protection hidden="1"/>
    </xf>
    <xf numFmtId="192" fontId="4" fillId="35" borderId="15" xfId="0" applyFont="1" applyFill="1" applyBorder="1" applyAlignment="1" applyProtection="1">
      <alignment/>
      <protection hidden="1"/>
    </xf>
    <xf numFmtId="10" fontId="4" fillId="35" borderId="17" xfId="0" applyNumberFormat="1" applyFont="1" applyFill="1" applyBorder="1" applyAlignment="1" applyProtection="1">
      <alignment/>
      <protection hidden="1"/>
    </xf>
    <xf numFmtId="198" fontId="12" fillId="35" borderId="11" xfId="0" applyNumberFormat="1" applyFont="1" applyFill="1" applyBorder="1" applyAlignment="1" applyProtection="1">
      <alignment/>
      <protection hidden="1"/>
    </xf>
    <xf numFmtId="198" fontId="12" fillId="35" borderId="0" xfId="0" applyNumberFormat="1" applyFont="1" applyFill="1" applyBorder="1" applyAlignment="1" applyProtection="1">
      <alignment/>
      <protection hidden="1"/>
    </xf>
    <xf numFmtId="198" fontId="12" fillId="35" borderId="21" xfId="0" applyNumberFormat="1" applyFont="1" applyFill="1" applyBorder="1" applyAlignment="1" applyProtection="1">
      <alignment/>
      <protection hidden="1"/>
    </xf>
    <xf numFmtId="192" fontId="25" fillId="0" borderId="0" xfId="0" applyFont="1" applyAlignment="1" applyProtection="1">
      <alignment/>
      <protection hidden="1"/>
    </xf>
    <xf numFmtId="197" fontId="12" fillId="0" borderId="14" xfId="0" applyNumberFormat="1" applyFont="1" applyFill="1" applyBorder="1" applyAlignment="1" applyProtection="1">
      <alignment/>
      <protection hidden="1"/>
    </xf>
    <xf numFmtId="192" fontId="12" fillId="0" borderId="14" xfId="0" applyNumberFormat="1" applyFont="1" applyFill="1" applyBorder="1" applyAlignment="1" applyProtection="1">
      <alignment/>
      <protection hidden="1"/>
    </xf>
    <xf numFmtId="197" fontId="4" fillId="0" borderId="0" xfId="0" applyNumberFormat="1" applyFont="1" applyBorder="1" applyAlignment="1" applyProtection="1">
      <alignment/>
      <protection hidden="1"/>
    </xf>
    <xf numFmtId="197" fontId="12" fillId="0" borderId="0" xfId="0" applyNumberFormat="1" applyFont="1" applyFill="1" applyBorder="1" applyAlignment="1" applyProtection="1">
      <alignment/>
      <protection hidden="1"/>
    </xf>
    <xf numFmtId="192" fontId="12" fillId="0" borderId="20" xfId="0" applyNumberFormat="1" applyFont="1" applyFill="1" applyBorder="1" applyAlignment="1" applyProtection="1">
      <alignment/>
      <protection hidden="1"/>
    </xf>
    <xf numFmtId="197" fontId="12" fillId="0" borderId="14" xfId="0" applyNumberFormat="1" applyFont="1" applyBorder="1" applyAlignment="1" applyProtection="1">
      <alignment/>
      <protection hidden="1"/>
    </xf>
    <xf numFmtId="197" fontId="12" fillId="0" borderId="0" xfId="0" applyNumberFormat="1" applyFont="1" applyBorder="1" applyAlignment="1" applyProtection="1">
      <alignment/>
      <protection hidden="1"/>
    </xf>
    <xf numFmtId="192" fontId="12" fillId="0" borderId="0" xfId="0" applyNumberFormat="1" applyFont="1" applyBorder="1" applyAlignment="1" applyProtection="1">
      <alignment/>
      <protection hidden="1"/>
    </xf>
    <xf numFmtId="198" fontId="12" fillId="0" borderId="0" xfId="0" applyNumberFormat="1" applyFont="1" applyBorder="1" applyAlignment="1" applyProtection="1">
      <alignment/>
      <protection hidden="1"/>
    </xf>
    <xf numFmtId="192" fontId="12" fillId="0" borderId="21" xfId="0" applyNumberFormat="1" applyFont="1" applyBorder="1" applyAlignment="1" applyProtection="1">
      <alignment/>
      <protection hidden="1"/>
    </xf>
    <xf numFmtId="192" fontId="13" fillId="0" borderId="0" xfId="0" applyNumberFormat="1" applyFont="1" applyBorder="1" applyAlignment="1" applyProtection="1">
      <alignment/>
      <protection hidden="1"/>
    </xf>
    <xf numFmtId="192" fontId="12" fillId="0" borderId="15" xfId="0" applyNumberFormat="1" applyFont="1" applyFill="1" applyBorder="1" applyAlignment="1" applyProtection="1">
      <alignment/>
      <protection hidden="1"/>
    </xf>
    <xf numFmtId="192" fontId="17" fillId="0" borderId="15" xfId="0" applyNumberFormat="1" applyFont="1" applyBorder="1" applyAlignment="1" applyProtection="1">
      <alignment/>
      <protection hidden="1"/>
    </xf>
    <xf numFmtId="202" fontId="4" fillId="0" borderId="16" xfId="0" applyNumberFormat="1" applyFont="1" applyFill="1" applyBorder="1" applyAlignment="1" applyProtection="1">
      <alignment/>
      <protection hidden="1"/>
    </xf>
    <xf numFmtId="192" fontId="12" fillId="0" borderId="22" xfId="0" applyFont="1" applyFill="1" applyBorder="1" applyAlignment="1" applyProtection="1">
      <alignment/>
      <protection hidden="1"/>
    </xf>
    <xf numFmtId="192" fontId="4" fillId="0" borderId="22" xfId="0" applyFont="1" applyBorder="1" applyAlignment="1" applyProtection="1">
      <alignment/>
      <protection hidden="1"/>
    </xf>
    <xf numFmtId="192" fontId="12" fillId="0" borderId="16" xfId="0" applyNumberFormat="1" applyFont="1" applyBorder="1" applyAlignment="1" applyProtection="1">
      <alignment/>
      <protection hidden="1"/>
    </xf>
    <xf numFmtId="192" fontId="12" fillId="0" borderId="14" xfId="0" applyNumberFormat="1" applyFont="1" applyBorder="1" applyAlignment="1" applyProtection="1">
      <alignment/>
      <protection hidden="1"/>
    </xf>
    <xf numFmtId="192" fontId="12" fillId="0" borderId="15" xfId="0" applyFont="1" applyBorder="1" applyAlignment="1" applyProtection="1">
      <alignment/>
      <protection hidden="1"/>
    </xf>
    <xf numFmtId="192" fontId="12" fillId="0" borderId="13" xfId="0" applyFont="1" applyBorder="1" applyAlignment="1" applyProtection="1">
      <alignment/>
      <protection hidden="1"/>
    </xf>
    <xf numFmtId="192" fontId="12" fillId="0" borderId="18" xfId="0" applyFont="1" applyBorder="1" applyAlignment="1" applyProtection="1">
      <alignment/>
      <protection hidden="1"/>
    </xf>
    <xf numFmtId="192" fontId="12" fillId="0" borderId="12" xfId="0" applyFont="1" applyBorder="1" applyAlignment="1" applyProtection="1">
      <alignment/>
      <protection hidden="1"/>
    </xf>
    <xf numFmtId="192" fontId="12" fillId="0" borderId="22" xfId="0" applyFont="1" applyBorder="1" applyAlignment="1" applyProtection="1">
      <alignment/>
      <protection hidden="1"/>
    </xf>
    <xf numFmtId="192" fontId="4" fillId="0" borderId="10" xfId="0" applyFont="1" applyBorder="1" applyAlignment="1" applyProtection="1">
      <alignment/>
      <protection hidden="1"/>
    </xf>
    <xf numFmtId="192" fontId="12" fillId="0" borderId="19" xfId="0" applyFont="1" applyBorder="1" applyAlignment="1" applyProtection="1">
      <alignment/>
      <protection hidden="1"/>
    </xf>
    <xf numFmtId="192" fontId="4" fillId="0" borderId="19" xfId="0" applyFont="1" applyBorder="1" applyAlignment="1" applyProtection="1">
      <alignment/>
      <protection hidden="1"/>
    </xf>
    <xf numFmtId="192" fontId="12" fillId="0" borderId="19" xfId="0" applyNumberFormat="1" applyFont="1" applyBorder="1" applyAlignment="1" applyProtection="1">
      <alignment/>
      <protection hidden="1"/>
    </xf>
    <xf numFmtId="192" fontId="12" fillId="0" borderId="17" xfId="0" applyFont="1" applyBorder="1" applyAlignment="1" applyProtection="1">
      <alignment/>
      <protection hidden="1"/>
    </xf>
    <xf numFmtId="192" fontId="4" fillId="0" borderId="13" xfId="0" applyFont="1" applyBorder="1" applyAlignment="1" applyProtection="1">
      <alignment/>
      <protection hidden="1"/>
    </xf>
    <xf numFmtId="192" fontId="4" fillId="0" borderId="0" xfId="0" applyFont="1" applyBorder="1" applyAlignment="1" applyProtection="1">
      <alignment/>
      <protection hidden="1"/>
    </xf>
    <xf numFmtId="192" fontId="12" fillId="0" borderId="11" xfId="0" applyFont="1" applyBorder="1" applyAlignment="1" applyProtection="1">
      <alignment/>
      <protection hidden="1"/>
    </xf>
    <xf numFmtId="192" fontId="12" fillId="0" borderId="18" xfId="0" applyNumberFormat="1" applyFont="1" applyBorder="1" applyAlignment="1" applyProtection="1">
      <alignment/>
      <protection hidden="1"/>
    </xf>
    <xf numFmtId="192" fontId="12" fillId="0" borderId="0" xfId="0" applyFont="1" applyBorder="1" applyAlignment="1" applyProtection="1">
      <alignment/>
      <protection hidden="1"/>
    </xf>
    <xf numFmtId="192" fontId="12" fillId="0" borderId="20" xfId="0" applyNumberFormat="1" applyFont="1" applyBorder="1" applyAlignment="1" applyProtection="1">
      <alignment/>
      <protection hidden="1"/>
    </xf>
    <xf numFmtId="192" fontId="12" fillId="0" borderId="10" xfId="0" applyNumberFormat="1" applyFont="1" applyFill="1" applyBorder="1" applyAlignment="1" applyProtection="1">
      <alignment/>
      <protection hidden="1"/>
    </xf>
    <xf numFmtId="192" fontId="12" fillId="0" borderId="18" xfId="0" applyNumberFormat="1" applyFont="1" applyFill="1" applyBorder="1" applyAlignment="1" applyProtection="1">
      <alignment/>
      <protection hidden="1"/>
    </xf>
    <xf numFmtId="192" fontId="12" fillId="0" borderId="11" xfId="0" applyNumberFormat="1" applyFont="1" applyBorder="1" applyAlignment="1" applyProtection="1">
      <alignment/>
      <protection hidden="1"/>
    </xf>
    <xf numFmtId="197" fontId="4" fillId="0" borderId="15" xfId="0" applyNumberFormat="1" applyFont="1" applyBorder="1" applyAlignment="1" applyProtection="1">
      <alignment horizontal="center"/>
      <protection hidden="1"/>
    </xf>
    <xf numFmtId="197" fontId="4" fillId="0" borderId="17" xfId="0" applyNumberFormat="1" applyFont="1" applyBorder="1" applyAlignment="1" applyProtection="1">
      <alignment horizontal="center"/>
      <protection hidden="1"/>
    </xf>
    <xf numFmtId="197" fontId="12" fillId="0" borderId="22" xfId="0" applyNumberFormat="1" applyFont="1" applyFill="1" applyBorder="1" applyAlignment="1" applyProtection="1">
      <alignment horizontal="center"/>
      <protection hidden="1"/>
    </xf>
    <xf numFmtId="192" fontId="4" fillId="0" borderId="0" xfId="0" applyFont="1" applyBorder="1" applyAlignment="1" applyProtection="1">
      <alignment horizontal="center"/>
      <protection hidden="1"/>
    </xf>
    <xf numFmtId="197" fontId="4" fillId="0" borderId="22" xfId="0" applyNumberFormat="1" applyFont="1" applyBorder="1" applyAlignment="1" applyProtection="1">
      <alignment horizontal="center"/>
      <protection hidden="1"/>
    </xf>
    <xf numFmtId="192" fontId="4" fillId="0" borderId="15" xfId="0" applyFont="1" applyBorder="1" applyAlignment="1" applyProtection="1">
      <alignment horizontal="center"/>
      <protection hidden="1"/>
    </xf>
    <xf numFmtId="192" fontId="12" fillId="0" borderId="15" xfId="0" applyFont="1" applyFill="1" applyBorder="1" applyAlignment="1" applyProtection="1">
      <alignment horizontal="center"/>
      <protection hidden="1"/>
    </xf>
    <xf numFmtId="192" fontId="4" fillId="0" borderId="12" xfId="0" applyFont="1" applyBorder="1" applyAlignment="1" applyProtection="1">
      <alignment horizontal="center"/>
      <protection hidden="1"/>
    </xf>
    <xf numFmtId="192" fontId="12" fillId="0" borderId="0" xfId="0" applyFont="1" applyFill="1" applyBorder="1" applyAlignment="1" applyProtection="1">
      <alignment horizontal="center"/>
      <protection hidden="1"/>
    </xf>
    <xf numFmtId="192" fontId="4" fillId="35" borderId="22" xfId="0" applyFont="1" applyFill="1" applyBorder="1" applyAlignment="1" applyProtection="1">
      <alignment horizontal="center"/>
      <protection hidden="1"/>
    </xf>
    <xf numFmtId="198" fontId="13" fillId="0" borderId="12" xfId="0" applyNumberFormat="1" applyFont="1" applyBorder="1" applyAlignment="1" applyProtection="1">
      <alignment horizontal="center"/>
      <protection hidden="1"/>
    </xf>
    <xf numFmtId="198" fontId="13" fillId="0" borderId="15" xfId="0" applyNumberFormat="1" applyFont="1" applyBorder="1" applyAlignment="1" applyProtection="1">
      <alignment horizontal="center"/>
      <protection hidden="1"/>
    </xf>
    <xf numFmtId="197" fontId="12" fillId="0" borderId="0" xfId="0" applyNumberFormat="1" applyFont="1" applyFill="1" applyBorder="1" applyAlignment="1" applyProtection="1">
      <alignment horizontal="center"/>
      <protection hidden="1"/>
    </xf>
    <xf numFmtId="192" fontId="4" fillId="0" borderId="0" xfId="0" applyFont="1" applyAlignment="1" applyProtection="1">
      <alignment horizontal="center"/>
      <protection hidden="1"/>
    </xf>
    <xf numFmtId="197" fontId="4" fillId="0" borderId="0" xfId="0" applyNumberFormat="1" applyFont="1" applyBorder="1" applyAlignment="1" applyProtection="1">
      <alignment horizontal="center"/>
      <protection hidden="1"/>
    </xf>
    <xf numFmtId="192" fontId="4" fillId="0" borderId="0" xfId="0" applyNumberFormat="1" applyFont="1" applyFill="1" applyBorder="1" applyAlignment="1" applyProtection="1">
      <alignment/>
      <protection hidden="1"/>
    </xf>
    <xf numFmtId="192" fontId="12" fillId="0" borderId="0" xfId="0" applyNumberFormat="1" applyFont="1" applyFill="1" applyBorder="1" applyAlignment="1" applyProtection="1">
      <alignment/>
      <protection hidden="1"/>
    </xf>
    <xf numFmtId="198" fontId="12" fillId="0" borderId="0" xfId="0" applyNumberFormat="1" applyFont="1" applyFill="1" applyBorder="1" applyAlignment="1" applyProtection="1">
      <alignment/>
      <protection hidden="1"/>
    </xf>
    <xf numFmtId="192" fontId="4" fillId="33" borderId="14" xfId="0" applyFont="1" applyFill="1" applyBorder="1" applyAlignment="1" applyProtection="1">
      <alignment horizontal="center"/>
      <protection hidden="1"/>
    </xf>
    <xf numFmtId="192" fontId="12" fillId="33" borderId="0" xfId="0" applyNumberFormat="1" applyFont="1" applyFill="1" applyBorder="1" applyAlignment="1" applyProtection="1">
      <alignment horizontal="center"/>
      <protection hidden="1"/>
    </xf>
    <xf numFmtId="192" fontId="12" fillId="33" borderId="15" xfId="0" applyNumberFormat="1" applyFont="1" applyFill="1" applyBorder="1" applyAlignment="1" applyProtection="1">
      <alignment horizontal="center"/>
      <protection hidden="1"/>
    </xf>
    <xf numFmtId="192" fontId="4" fillId="33" borderId="0" xfId="0" applyFont="1" applyFill="1" applyBorder="1" applyAlignment="1" applyProtection="1">
      <alignment/>
      <protection hidden="1"/>
    </xf>
    <xf numFmtId="192" fontId="4" fillId="33" borderId="16" xfId="0" applyFont="1" applyFill="1" applyBorder="1" applyAlignment="1" applyProtection="1">
      <alignment horizontal="center"/>
      <protection hidden="1"/>
    </xf>
    <xf numFmtId="192" fontId="4" fillId="33" borderId="0" xfId="0" applyNumberFormat="1" applyFont="1" applyFill="1" applyBorder="1" applyAlignment="1" applyProtection="1">
      <alignment horizontal="center"/>
      <protection hidden="1"/>
    </xf>
    <xf numFmtId="192" fontId="4" fillId="33" borderId="20" xfId="0" applyFont="1" applyFill="1" applyBorder="1" applyAlignment="1" applyProtection="1">
      <alignment horizontal="center"/>
      <protection hidden="1"/>
    </xf>
    <xf numFmtId="192" fontId="4" fillId="33" borderId="21" xfId="0" applyFont="1" applyFill="1" applyBorder="1" applyAlignment="1" applyProtection="1">
      <alignment horizontal="center"/>
      <protection hidden="1"/>
    </xf>
    <xf numFmtId="192" fontId="4" fillId="33" borderId="17" xfId="0" applyFont="1" applyFill="1" applyBorder="1" applyAlignment="1" applyProtection="1">
      <alignment horizontal="center"/>
      <protection hidden="1"/>
    </xf>
    <xf numFmtId="192" fontId="4" fillId="33" borderId="24" xfId="0" applyFont="1" applyFill="1" applyBorder="1" applyAlignment="1" applyProtection="1">
      <alignment horizontal="center"/>
      <protection hidden="1"/>
    </xf>
    <xf numFmtId="192" fontId="18" fillId="35" borderId="10" xfId="0" applyNumberFormat="1" applyFont="1" applyFill="1" applyBorder="1" applyAlignment="1" applyProtection="1">
      <alignment/>
      <protection hidden="1"/>
    </xf>
    <xf numFmtId="198" fontId="44" fillId="35" borderId="19" xfId="0" applyNumberFormat="1" applyFont="1" applyFill="1" applyBorder="1" applyAlignment="1" applyProtection="1">
      <alignment/>
      <protection hidden="1"/>
    </xf>
    <xf numFmtId="192" fontId="12" fillId="33" borderId="14" xfId="0" applyNumberFormat="1" applyFont="1" applyFill="1" applyBorder="1" applyAlignment="1" applyProtection="1">
      <alignment horizontal="center"/>
      <protection hidden="1"/>
    </xf>
    <xf numFmtId="192" fontId="4" fillId="33" borderId="14" xfId="0" applyFont="1" applyFill="1" applyBorder="1" applyAlignment="1" applyProtection="1">
      <alignment/>
      <protection hidden="1"/>
    </xf>
    <xf numFmtId="192" fontId="4" fillId="33" borderId="14" xfId="0" applyNumberFormat="1" applyFont="1" applyFill="1" applyBorder="1" applyAlignment="1" applyProtection="1">
      <alignment horizontal="center"/>
      <protection hidden="1"/>
    </xf>
    <xf numFmtId="192" fontId="4" fillId="33" borderId="15" xfId="0" applyFont="1" applyFill="1" applyBorder="1" applyAlignment="1" applyProtection="1">
      <alignment horizontal="center"/>
      <protection hidden="1"/>
    </xf>
    <xf numFmtId="192" fontId="4" fillId="0" borderId="10" xfId="0" applyNumberFormat="1" applyFont="1" applyBorder="1" applyAlignment="1" applyProtection="1">
      <alignment/>
      <protection hidden="1"/>
    </xf>
    <xf numFmtId="192" fontId="4" fillId="0" borderId="19" xfId="0" applyNumberFormat="1" applyFont="1" applyBorder="1" applyAlignment="1" applyProtection="1">
      <alignment/>
      <protection hidden="1"/>
    </xf>
    <xf numFmtId="192" fontId="4" fillId="0" borderId="23" xfId="0" applyFont="1" applyBorder="1" applyAlignment="1" applyProtection="1">
      <alignment horizontal="center"/>
      <protection hidden="1"/>
    </xf>
    <xf numFmtId="192" fontId="18" fillId="35" borderId="20" xfId="0" applyNumberFormat="1" applyFont="1" applyFill="1" applyBorder="1" applyAlignment="1" applyProtection="1">
      <alignment/>
      <protection hidden="1"/>
    </xf>
    <xf numFmtId="198" fontId="44" fillId="35" borderId="21" xfId="0" applyNumberFormat="1" applyFont="1" applyFill="1" applyBorder="1" applyAlignment="1" applyProtection="1">
      <alignment/>
      <protection hidden="1"/>
    </xf>
    <xf numFmtId="192" fontId="43" fillId="0" borderId="0" xfId="0" applyNumberFormat="1" applyFont="1" applyFill="1" applyBorder="1" applyAlignment="1" applyProtection="1">
      <alignment/>
      <protection hidden="1"/>
    </xf>
    <xf numFmtId="192" fontId="4" fillId="0" borderId="0" xfId="0" applyFont="1" applyFill="1" applyBorder="1" applyAlignment="1" applyProtection="1">
      <alignment/>
      <protection hidden="1"/>
    </xf>
    <xf numFmtId="192" fontId="4" fillId="33" borderId="20" xfId="0" applyFont="1" applyFill="1" applyBorder="1" applyAlignment="1" applyProtection="1" quotePrefix="1">
      <alignment horizontal="center"/>
      <protection hidden="1"/>
    </xf>
    <xf numFmtId="192" fontId="4" fillId="33" borderId="24" xfId="0" applyFont="1" applyFill="1" applyBorder="1" applyAlignment="1" applyProtection="1" quotePrefix="1">
      <alignment horizontal="center"/>
      <protection hidden="1"/>
    </xf>
    <xf numFmtId="192" fontId="4" fillId="33" borderId="16" xfId="0" applyFont="1" applyFill="1" applyBorder="1" applyAlignment="1" applyProtection="1" quotePrefix="1">
      <alignment horizontal="center"/>
      <protection hidden="1"/>
    </xf>
    <xf numFmtId="192" fontId="4" fillId="33" borderId="16" xfId="0" applyFont="1" applyFill="1" applyBorder="1" applyAlignment="1" applyProtection="1">
      <alignment/>
      <protection hidden="1"/>
    </xf>
    <xf numFmtId="192" fontId="4" fillId="0" borderId="13" xfId="0" applyNumberFormat="1" applyFont="1" applyBorder="1" applyAlignment="1" applyProtection="1">
      <alignment/>
      <protection hidden="1"/>
    </xf>
    <xf numFmtId="192" fontId="4" fillId="0" borderId="16" xfId="0" applyNumberFormat="1" applyFont="1" applyBorder="1" applyAlignment="1" applyProtection="1">
      <alignment/>
      <protection hidden="1"/>
    </xf>
    <xf numFmtId="192" fontId="4" fillId="0" borderId="16" xfId="0" applyFont="1" applyBorder="1" applyAlignment="1" applyProtection="1">
      <alignment/>
      <protection hidden="1"/>
    </xf>
    <xf numFmtId="192" fontId="3" fillId="35" borderId="22" xfId="0" applyFont="1" applyFill="1" applyBorder="1" applyAlignment="1" applyProtection="1">
      <alignment horizontal="center"/>
      <protection hidden="1"/>
    </xf>
    <xf numFmtId="192" fontId="3" fillId="35" borderId="10" xfId="0" applyFont="1" applyFill="1" applyBorder="1" applyAlignment="1" applyProtection="1">
      <alignment horizontal="right"/>
      <protection hidden="1"/>
    </xf>
    <xf numFmtId="192" fontId="3" fillId="35" borderId="22" xfId="0" applyFont="1" applyFill="1" applyBorder="1" applyAlignment="1" applyProtection="1">
      <alignment horizontal="right"/>
      <protection hidden="1"/>
    </xf>
    <xf numFmtId="192" fontId="4" fillId="35" borderId="21" xfId="0" applyFont="1" applyFill="1" applyBorder="1" applyAlignment="1" applyProtection="1">
      <alignment/>
      <protection hidden="1"/>
    </xf>
    <xf numFmtId="192" fontId="24" fillId="0" borderId="0" xfId="0" applyNumberFormat="1" applyFont="1" applyFill="1" applyBorder="1" applyAlignment="1" applyProtection="1">
      <alignment/>
      <protection hidden="1"/>
    </xf>
    <xf numFmtId="192" fontId="12" fillId="0" borderId="0" xfId="0" applyNumberFormat="1" applyFont="1" applyFill="1" applyBorder="1" applyAlignment="1" applyProtection="1">
      <alignment/>
      <protection hidden="1"/>
    </xf>
    <xf numFmtId="192" fontId="1" fillId="0" borderId="0" xfId="0" applyFont="1" applyBorder="1" applyAlignment="1" applyProtection="1">
      <alignment/>
      <protection hidden="1"/>
    </xf>
    <xf numFmtId="192" fontId="18" fillId="0" borderId="0" xfId="0" applyNumberFormat="1" applyFont="1" applyFill="1" applyBorder="1" applyAlignment="1" applyProtection="1">
      <alignment/>
      <protection hidden="1"/>
    </xf>
    <xf numFmtId="10" fontId="3" fillId="0" borderId="0" xfId="68" applyNumberFormat="1" applyFont="1" applyFill="1" applyBorder="1" applyAlignment="1" applyProtection="1">
      <alignment/>
      <protection hidden="1"/>
    </xf>
    <xf numFmtId="192" fontId="45" fillId="33" borderId="18" xfId="0" applyNumberFormat="1" applyFont="1" applyFill="1" applyBorder="1" applyAlignment="1" applyProtection="1">
      <alignment/>
      <protection hidden="1"/>
    </xf>
    <xf numFmtId="192" fontId="46" fillId="33" borderId="11" xfId="0" applyFont="1" applyFill="1" applyBorder="1" applyAlignment="1" applyProtection="1">
      <alignment/>
      <protection hidden="1"/>
    </xf>
    <xf numFmtId="10" fontId="45" fillId="33" borderId="12" xfId="68" applyNumberFormat="1" applyFont="1" applyFill="1" applyBorder="1" applyAlignment="1" applyProtection="1">
      <alignment/>
      <protection hidden="1"/>
    </xf>
    <xf numFmtId="1" fontId="4" fillId="0" borderId="0" xfId="68" applyNumberFormat="1" applyFont="1" applyBorder="1" applyAlignment="1" applyProtection="1">
      <alignment/>
      <protection hidden="1"/>
    </xf>
    <xf numFmtId="192" fontId="46" fillId="33" borderId="14" xfId="0" applyNumberFormat="1" applyFont="1" applyFill="1" applyBorder="1" applyAlignment="1" applyProtection="1">
      <alignment/>
      <protection hidden="1"/>
    </xf>
    <xf numFmtId="192" fontId="46" fillId="33" borderId="0" xfId="0" applyNumberFormat="1" applyFont="1" applyFill="1" applyBorder="1" applyAlignment="1" applyProtection="1">
      <alignment/>
      <protection hidden="1"/>
    </xf>
    <xf numFmtId="192" fontId="46" fillId="33" borderId="15" xfId="0" applyFont="1" applyFill="1" applyBorder="1" applyAlignment="1" applyProtection="1">
      <alignment/>
      <protection hidden="1"/>
    </xf>
    <xf numFmtId="192" fontId="45" fillId="33" borderId="20" xfId="0" applyNumberFormat="1" applyFont="1" applyFill="1" applyBorder="1" applyAlignment="1" applyProtection="1">
      <alignment/>
      <protection hidden="1"/>
    </xf>
    <xf numFmtId="192" fontId="46" fillId="33" borderId="21" xfId="0" applyNumberFormat="1" applyFont="1" applyFill="1" applyBorder="1" applyAlignment="1" applyProtection="1">
      <alignment/>
      <protection hidden="1"/>
    </xf>
    <xf numFmtId="10" fontId="45" fillId="33" borderId="17" xfId="68" applyNumberFormat="1" applyFont="1" applyFill="1" applyBorder="1" applyAlignment="1" applyProtection="1">
      <alignment/>
      <protection hidden="1"/>
    </xf>
    <xf numFmtId="9" fontId="4" fillId="0" borderId="0" xfId="68" applyFont="1" applyBorder="1" applyAlignment="1" applyProtection="1">
      <alignment/>
      <protection hidden="1"/>
    </xf>
    <xf numFmtId="9" fontId="4" fillId="0" borderId="0" xfId="68" applyFont="1" applyAlignment="1" applyProtection="1">
      <alignment/>
      <protection hidden="1"/>
    </xf>
    <xf numFmtId="192" fontId="26" fillId="0" borderId="0" xfId="0" applyFont="1" applyBorder="1" applyAlignment="1" applyProtection="1">
      <alignment/>
      <protection hidden="1"/>
    </xf>
    <xf numFmtId="192" fontId="28" fillId="0" borderId="0" xfId="0" applyFont="1" applyFill="1" applyBorder="1" applyAlignment="1" applyProtection="1">
      <alignment/>
      <protection hidden="1"/>
    </xf>
    <xf numFmtId="192" fontId="1" fillId="0" borderId="0" xfId="0" applyFont="1" applyBorder="1" applyAlignment="1" applyProtection="1">
      <alignment horizontal="right"/>
      <protection hidden="1"/>
    </xf>
    <xf numFmtId="192" fontId="27" fillId="0" borderId="21" xfId="0" applyFont="1" applyFill="1" applyBorder="1" applyAlignment="1" applyProtection="1">
      <alignment/>
      <protection hidden="1"/>
    </xf>
    <xf numFmtId="192" fontId="4" fillId="0" borderId="21" xfId="0" applyFont="1" applyFill="1" applyBorder="1" applyAlignment="1" applyProtection="1">
      <alignment/>
      <protection hidden="1"/>
    </xf>
    <xf numFmtId="192" fontId="4" fillId="0" borderId="18" xfId="0" applyFont="1" applyBorder="1" applyAlignment="1" applyProtection="1">
      <alignment/>
      <protection hidden="1"/>
    </xf>
    <xf numFmtId="192" fontId="4" fillId="0" borderId="11" xfId="0" applyFont="1" applyBorder="1" applyAlignment="1" applyProtection="1">
      <alignment horizontal="center"/>
      <protection hidden="1"/>
    </xf>
    <xf numFmtId="192" fontId="4" fillId="0" borderId="12" xfId="0" applyFont="1" applyBorder="1" applyAlignment="1" applyProtection="1">
      <alignment/>
      <protection hidden="1"/>
    </xf>
    <xf numFmtId="192" fontId="1" fillId="35" borderId="10" xfId="0" applyFont="1" applyFill="1" applyBorder="1" applyAlignment="1" applyProtection="1">
      <alignment/>
      <protection hidden="1"/>
    </xf>
    <xf numFmtId="192" fontId="4" fillId="35" borderId="19" xfId="0" applyFont="1" applyFill="1" applyBorder="1" applyAlignment="1" applyProtection="1">
      <alignment/>
      <protection hidden="1"/>
    </xf>
    <xf numFmtId="192" fontId="4" fillId="35" borderId="23" xfId="0" applyFont="1" applyFill="1" applyBorder="1" applyAlignment="1" applyProtection="1">
      <alignment/>
      <protection hidden="1"/>
    </xf>
    <xf numFmtId="192" fontId="4" fillId="35" borderId="19" xfId="0" applyFont="1" applyFill="1" applyBorder="1" applyAlignment="1" applyProtection="1">
      <alignment horizontal="center"/>
      <protection hidden="1"/>
    </xf>
    <xf numFmtId="192" fontId="4" fillId="35" borderId="23" xfId="0" applyFont="1" applyFill="1" applyBorder="1" applyAlignment="1" applyProtection="1">
      <alignment horizontal="center"/>
      <protection hidden="1"/>
    </xf>
    <xf numFmtId="192" fontId="4" fillId="0" borderId="14" xfId="0" applyFont="1" applyBorder="1" applyAlignment="1" applyProtection="1">
      <alignment/>
      <protection hidden="1"/>
    </xf>
    <xf numFmtId="192" fontId="1" fillId="0" borderId="10" xfId="0" applyFont="1" applyBorder="1" applyAlignment="1" applyProtection="1">
      <alignment/>
      <protection hidden="1"/>
    </xf>
    <xf numFmtId="192" fontId="4" fillId="0" borderId="19" xfId="0" applyFont="1" applyBorder="1" applyAlignment="1" applyProtection="1">
      <alignment horizontal="center"/>
      <protection hidden="1"/>
    </xf>
    <xf numFmtId="200" fontId="4" fillId="0" borderId="15" xfId="68" applyNumberFormat="1" applyFont="1" applyBorder="1" applyAlignment="1" applyProtection="1">
      <alignment/>
      <protection hidden="1"/>
    </xf>
    <xf numFmtId="192" fontId="1" fillId="0" borderId="14" xfId="0" applyFont="1" applyBorder="1" applyAlignment="1" applyProtection="1">
      <alignment/>
      <protection hidden="1"/>
    </xf>
    <xf numFmtId="2" fontId="4" fillId="0" borderId="0" xfId="68" applyNumberFormat="1" applyFont="1" applyBorder="1" applyAlignment="1" applyProtection="1">
      <alignment/>
      <protection hidden="1"/>
    </xf>
    <xf numFmtId="192" fontId="4" fillId="0" borderId="21" xfId="0" applyFont="1" applyBorder="1" applyAlignment="1" applyProtection="1">
      <alignment/>
      <protection hidden="1"/>
    </xf>
    <xf numFmtId="198" fontId="4" fillId="0" borderId="0" xfId="0" applyNumberFormat="1" applyFont="1" applyBorder="1" applyAlignment="1" applyProtection="1">
      <alignment/>
      <protection hidden="1"/>
    </xf>
    <xf numFmtId="192" fontId="4" fillId="0" borderId="14" xfId="0" applyFont="1" applyBorder="1" applyAlignment="1" applyProtection="1">
      <alignment horizontal="center"/>
      <protection hidden="1"/>
    </xf>
    <xf numFmtId="192" fontId="4" fillId="0" borderId="20" xfId="0" applyFont="1" applyBorder="1" applyAlignment="1" applyProtection="1">
      <alignment/>
      <protection hidden="1"/>
    </xf>
    <xf numFmtId="192" fontId="4" fillId="0" borderId="21" xfId="0" applyFont="1" applyBorder="1" applyAlignment="1" applyProtection="1">
      <alignment horizontal="center"/>
      <protection hidden="1"/>
    </xf>
    <xf numFmtId="198" fontId="4" fillId="0" borderId="21" xfId="0" applyNumberFormat="1" applyFont="1" applyBorder="1" applyAlignment="1" applyProtection="1">
      <alignment/>
      <protection hidden="1"/>
    </xf>
    <xf numFmtId="192" fontId="4" fillId="0" borderId="17" xfId="0" applyFont="1" applyBorder="1" applyAlignment="1" applyProtection="1">
      <alignment/>
      <protection hidden="1"/>
    </xf>
    <xf numFmtId="192" fontId="13" fillId="0" borderId="14" xfId="0" applyFont="1" applyBorder="1" applyAlignment="1" applyProtection="1">
      <alignment/>
      <protection hidden="1"/>
    </xf>
    <xf numFmtId="192" fontId="13" fillId="0" borderId="0" xfId="0" applyFont="1" applyBorder="1" applyAlignment="1" applyProtection="1">
      <alignment/>
      <protection hidden="1"/>
    </xf>
    <xf numFmtId="1" fontId="4" fillId="0" borderId="21" xfId="68" applyNumberFormat="1" applyFont="1" applyBorder="1" applyAlignment="1" applyProtection="1">
      <alignment/>
      <protection hidden="1"/>
    </xf>
    <xf numFmtId="192" fontId="1" fillId="0" borderId="20" xfId="0" applyFont="1" applyBorder="1" applyAlignment="1" applyProtection="1">
      <alignment/>
      <protection hidden="1"/>
    </xf>
    <xf numFmtId="202" fontId="4" fillId="0" borderId="0" xfId="68" applyNumberFormat="1" applyFont="1" applyBorder="1" applyAlignment="1" applyProtection="1">
      <alignment/>
      <protection hidden="1"/>
    </xf>
    <xf numFmtId="2" fontId="4" fillId="0" borderId="0" xfId="60" applyNumberFormat="1" applyFont="1" applyBorder="1" applyAlignment="1" applyProtection="1">
      <alignment/>
      <protection hidden="1"/>
    </xf>
    <xf numFmtId="192" fontId="1" fillId="0" borderId="10" xfId="0" applyFont="1" applyFill="1" applyBorder="1" applyAlignment="1" applyProtection="1">
      <alignment/>
      <protection hidden="1"/>
    </xf>
    <xf numFmtId="192" fontId="4" fillId="0" borderId="19" xfId="0" applyFont="1" applyFill="1" applyBorder="1" applyAlignment="1" applyProtection="1">
      <alignment/>
      <protection hidden="1"/>
    </xf>
    <xf numFmtId="192" fontId="4" fillId="0" borderId="23" xfId="0" applyFont="1" applyFill="1" applyBorder="1" applyAlignment="1" applyProtection="1">
      <alignment/>
      <protection hidden="1"/>
    </xf>
    <xf numFmtId="192" fontId="1" fillId="34" borderId="10" xfId="0" applyFont="1" applyFill="1" applyBorder="1" applyAlignment="1" applyProtection="1">
      <alignment/>
      <protection hidden="1"/>
    </xf>
    <xf numFmtId="192" fontId="4" fillId="34" borderId="19" xfId="0" applyFont="1" applyFill="1" applyBorder="1" applyAlignment="1" applyProtection="1">
      <alignment horizontal="center"/>
      <protection hidden="1"/>
    </xf>
    <xf numFmtId="192" fontId="4" fillId="34" borderId="19" xfId="0" applyFont="1" applyFill="1" applyBorder="1" applyAlignment="1" applyProtection="1">
      <alignment/>
      <protection hidden="1"/>
    </xf>
    <xf numFmtId="192" fontId="4" fillId="34" borderId="23" xfId="0" applyFont="1" applyFill="1" applyBorder="1" applyAlignment="1" applyProtection="1">
      <alignment/>
      <protection hidden="1"/>
    </xf>
    <xf numFmtId="200" fontId="4" fillId="0" borderId="0" xfId="68" applyNumberFormat="1" applyFont="1" applyBorder="1" applyAlignment="1" applyProtection="1">
      <alignment/>
      <protection hidden="1"/>
    </xf>
    <xf numFmtId="200" fontId="4" fillId="0" borderId="21" xfId="68" applyNumberFormat="1" applyFont="1" applyBorder="1" applyAlignment="1" applyProtection="1">
      <alignment/>
      <protection hidden="1"/>
    </xf>
    <xf numFmtId="192" fontId="4" fillId="0" borderId="0" xfId="0" applyFont="1" applyFill="1" applyBorder="1" applyAlignment="1" applyProtection="1">
      <alignment horizontal="center"/>
      <protection hidden="1"/>
    </xf>
    <xf numFmtId="197" fontId="4" fillId="0" borderId="0" xfId="0" applyNumberFormat="1" applyFont="1" applyFill="1" applyBorder="1" applyAlignment="1" applyProtection="1">
      <alignment/>
      <protection hidden="1"/>
    </xf>
    <xf numFmtId="197" fontId="4" fillId="0" borderId="21" xfId="0" applyNumberFormat="1" applyFont="1" applyBorder="1" applyAlignment="1" applyProtection="1">
      <alignment/>
      <protection hidden="1"/>
    </xf>
    <xf numFmtId="192" fontId="36" fillId="0" borderId="0" xfId="0" applyFont="1" applyAlignment="1" applyProtection="1">
      <alignment/>
      <protection hidden="1"/>
    </xf>
    <xf numFmtId="192" fontId="37" fillId="0" borderId="0" xfId="0" applyFont="1" applyAlignment="1" applyProtection="1">
      <alignment/>
      <protection hidden="1"/>
    </xf>
    <xf numFmtId="192" fontId="39" fillId="0" borderId="0" xfId="0" applyFont="1" applyAlignment="1" applyProtection="1">
      <alignment/>
      <protection hidden="1"/>
    </xf>
    <xf numFmtId="192" fontId="36" fillId="0" borderId="0" xfId="0" applyNumberFormat="1" applyFont="1" applyAlignment="1" applyProtection="1">
      <alignment/>
      <protection hidden="1"/>
    </xf>
    <xf numFmtId="192" fontId="39" fillId="0" borderId="0" xfId="0" applyNumberFormat="1" applyFont="1" applyBorder="1" applyAlignment="1" applyProtection="1">
      <alignment horizontal="left"/>
      <protection hidden="1"/>
    </xf>
    <xf numFmtId="192" fontId="36" fillId="0" borderId="0" xfId="0" applyNumberFormat="1" applyFont="1" applyBorder="1" applyAlignment="1" applyProtection="1">
      <alignment/>
      <protection hidden="1"/>
    </xf>
    <xf numFmtId="192" fontId="36" fillId="0" borderId="0" xfId="0" applyFont="1" applyBorder="1" applyAlignment="1" applyProtection="1">
      <alignment/>
      <protection hidden="1"/>
    </xf>
    <xf numFmtId="192" fontId="36" fillId="0" borderId="11" xfId="0" applyFont="1" applyBorder="1" applyAlignment="1" applyProtection="1">
      <alignment/>
      <protection hidden="1"/>
    </xf>
    <xf numFmtId="192" fontId="19" fillId="0" borderId="0" xfId="0" applyNumberFormat="1" applyFont="1" applyAlignment="1" applyProtection="1">
      <alignment horizontal="left"/>
      <protection hidden="1"/>
    </xf>
    <xf numFmtId="192" fontId="36" fillId="0" borderId="14" xfId="0" applyFont="1" applyBorder="1" applyAlignment="1" applyProtection="1">
      <alignment/>
      <protection hidden="1"/>
    </xf>
    <xf numFmtId="192" fontId="36" fillId="0" borderId="0" xfId="0" applyFont="1" applyBorder="1" applyAlignment="1" applyProtection="1">
      <alignment horizontal="center"/>
      <protection hidden="1"/>
    </xf>
    <xf numFmtId="192" fontId="36" fillId="0" borderId="15" xfId="0" applyFont="1" applyBorder="1" applyAlignment="1" applyProtection="1">
      <alignment/>
      <protection hidden="1"/>
    </xf>
    <xf numFmtId="192" fontId="36" fillId="0" borderId="21" xfId="0" applyFont="1" applyBorder="1" applyAlignment="1" applyProtection="1">
      <alignment/>
      <protection hidden="1"/>
    </xf>
    <xf numFmtId="192" fontId="36" fillId="0" borderId="17" xfId="0" applyFont="1" applyBorder="1" applyAlignment="1" applyProtection="1">
      <alignment/>
      <protection hidden="1"/>
    </xf>
    <xf numFmtId="192" fontId="40" fillId="0" borderId="18" xfId="0" applyFont="1" applyBorder="1" applyAlignment="1" applyProtection="1">
      <alignment/>
      <protection hidden="1"/>
    </xf>
    <xf numFmtId="192" fontId="36" fillId="0" borderId="11" xfId="0" applyFont="1" applyBorder="1" applyAlignment="1" applyProtection="1">
      <alignment horizontal="center"/>
      <protection hidden="1"/>
    </xf>
    <xf numFmtId="192" fontId="36" fillId="0" borderId="0" xfId="0" applyNumberFormat="1" applyFont="1" applyFill="1" applyBorder="1" applyAlignment="1" applyProtection="1">
      <alignment/>
      <protection hidden="1"/>
    </xf>
    <xf numFmtId="192" fontId="36" fillId="0" borderId="16" xfId="0" applyFont="1" applyBorder="1" applyAlignment="1" applyProtection="1">
      <alignment/>
      <protection hidden="1"/>
    </xf>
    <xf numFmtId="192" fontId="36" fillId="0" borderId="21" xfId="0" applyFont="1" applyBorder="1" applyAlignment="1" applyProtection="1">
      <alignment horizontal="center"/>
      <protection hidden="1"/>
    </xf>
    <xf numFmtId="192" fontId="36" fillId="0" borderId="23" xfId="0" applyFont="1" applyBorder="1" applyAlignment="1" applyProtection="1">
      <alignment/>
      <protection hidden="1"/>
    </xf>
    <xf numFmtId="192" fontId="36" fillId="0" borderId="0" xfId="0" applyFont="1" applyBorder="1" applyAlignment="1" applyProtection="1">
      <alignment horizontal="right"/>
      <protection hidden="1"/>
    </xf>
    <xf numFmtId="200" fontId="36" fillId="0" borderId="0" xfId="68" applyNumberFormat="1" applyFont="1" applyFill="1" applyBorder="1" applyAlignment="1" applyProtection="1">
      <alignment/>
      <protection hidden="1"/>
    </xf>
    <xf numFmtId="9" fontId="36" fillId="0" borderId="0" xfId="68" applyFont="1" applyFill="1" applyBorder="1" applyAlignment="1" applyProtection="1">
      <alignment/>
      <protection hidden="1"/>
    </xf>
    <xf numFmtId="192" fontId="36" fillId="0" borderId="19" xfId="0" applyFont="1" applyBorder="1" applyAlignment="1" applyProtection="1">
      <alignment/>
      <protection hidden="1"/>
    </xf>
    <xf numFmtId="192" fontId="37" fillId="0" borderId="0" xfId="0" applyFont="1" applyBorder="1" applyAlignment="1" applyProtection="1">
      <alignment horizontal="center"/>
      <protection hidden="1"/>
    </xf>
    <xf numFmtId="192" fontId="36" fillId="0" borderId="10" xfId="0" applyFont="1" applyBorder="1" applyAlignment="1" applyProtection="1">
      <alignment horizontal="centerContinuous"/>
      <protection hidden="1"/>
    </xf>
    <xf numFmtId="192" fontId="36" fillId="0" borderId="19" xfId="0" applyFont="1" applyBorder="1" applyAlignment="1" applyProtection="1">
      <alignment horizontal="centerContinuous"/>
      <protection hidden="1"/>
    </xf>
    <xf numFmtId="192" fontId="36" fillId="0" borderId="23" xfId="0" applyFont="1" applyBorder="1" applyAlignment="1" applyProtection="1">
      <alignment horizontal="centerContinuous"/>
      <protection hidden="1"/>
    </xf>
    <xf numFmtId="192" fontId="36" fillId="0" borderId="22" xfId="0" applyFont="1" applyBorder="1" applyAlignment="1" applyProtection="1">
      <alignment/>
      <protection hidden="1"/>
    </xf>
    <xf numFmtId="192" fontId="36" fillId="0" borderId="22" xfId="0" applyFont="1" applyBorder="1" applyAlignment="1" applyProtection="1">
      <alignment horizontal="center"/>
      <protection hidden="1"/>
    </xf>
    <xf numFmtId="192" fontId="40" fillId="0" borderId="13" xfId="0" applyFont="1" applyBorder="1" applyAlignment="1" applyProtection="1">
      <alignment/>
      <protection hidden="1"/>
    </xf>
    <xf numFmtId="192" fontId="36" fillId="0" borderId="13" xfId="0" applyFont="1" applyBorder="1" applyAlignment="1" applyProtection="1">
      <alignment horizontal="center"/>
      <protection hidden="1"/>
    </xf>
    <xf numFmtId="192" fontId="36" fillId="0" borderId="24" xfId="0" applyFont="1" applyBorder="1" applyAlignment="1" applyProtection="1">
      <alignment/>
      <protection hidden="1"/>
    </xf>
    <xf numFmtId="200" fontId="36" fillId="0" borderId="0" xfId="68" applyNumberFormat="1" applyFont="1" applyBorder="1" applyAlignment="1" applyProtection="1">
      <alignment/>
      <protection hidden="1"/>
    </xf>
    <xf numFmtId="192" fontId="36" fillId="0" borderId="22" xfId="0" applyFont="1" applyBorder="1" applyAlignment="1" applyProtection="1">
      <alignment horizontal="right"/>
      <protection hidden="1"/>
    </xf>
    <xf numFmtId="198" fontId="36" fillId="0" borderId="16" xfId="0" applyNumberFormat="1" applyFont="1" applyBorder="1" applyAlignment="1" applyProtection="1">
      <alignment/>
      <protection hidden="1"/>
    </xf>
    <xf numFmtId="198" fontId="36" fillId="0" borderId="24" xfId="0" applyNumberFormat="1" applyFont="1" applyBorder="1" applyAlignment="1" applyProtection="1">
      <alignment/>
      <protection hidden="1"/>
    </xf>
    <xf numFmtId="198" fontId="36" fillId="0" borderId="22" xfId="0" applyNumberFormat="1" applyFont="1" applyBorder="1" applyAlignment="1" applyProtection="1">
      <alignment/>
      <protection hidden="1"/>
    </xf>
    <xf numFmtId="192" fontId="36" fillId="0" borderId="13" xfId="0" applyFont="1" applyBorder="1" applyAlignment="1" applyProtection="1">
      <alignment/>
      <protection hidden="1"/>
    </xf>
    <xf numFmtId="1" fontId="13" fillId="0" borderId="0" xfId="0" applyNumberFormat="1" applyFont="1" applyAlignment="1" applyProtection="1">
      <alignment/>
      <protection locked="0"/>
    </xf>
    <xf numFmtId="2" fontId="20" fillId="0" borderId="15" xfId="0" applyNumberFormat="1" applyFont="1" applyFill="1" applyBorder="1" applyAlignment="1" applyProtection="1">
      <alignment/>
      <protection locked="0"/>
    </xf>
    <xf numFmtId="192" fontId="50" fillId="33" borderId="18" xfId="0" applyNumberFormat="1" applyFont="1" applyFill="1" applyBorder="1" applyAlignment="1" applyProtection="1">
      <alignment horizontal="centerContinuous"/>
      <protection hidden="1"/>
    </xf>
    <xf numFmtId="192" fontId="50" fillId="33" borderId="12" xfId="0" applyNumberFormat="1" applyFont="1" applyFill="1" applyBorder="1" applyAlignment="1" applyProtection="1">
      <alignment horizontal="centerContinuous"/>
      <protection hidden="1"/>
    </xf>
    <xf numFmtId="205" fontId="51" fillId="33" borderId="20" xfId="62" applyNumberFormat="1" applyFont="1" applyFill="1" applyBorder="1" applyAlignment="1" applyProtection="1">
      <alignment horizontal="left"/>
      <protection hidden="1"/>
    </xf>
    <xf numFmtId="205" fontId="51" fillId="33" borderId="17" xfId="62" applyNumberFormat="1" applyFont="1" applyFill="1" applyBorder="1" applyAlignment="1" applyProtection="1">
      <alignment horizontal="left"/>
      <protection hidden="1"/>
    </xf>
    <xf numFmtId="205" fontId="51" fillId="33" borderId="20" xfId="62" applyNumberFormat="1" applyFont="1" applyFill="1" applyBorder="1" applyAlignment="1" applyProtection="1">
      <alignment horizontal="center"/>
      <protection hidden="1"/>
    </xf>
    <xf numFmtId="190" fontId="51" fillId="33" borderId="17" xfId="62" applyFont="1" applyFill="1" applyBorder="1" applyAlignment="1" applyProtection="1">
      <alignment horizontal="center"/>
      <protection hidden="1"/>
    </xf>
    <xf numFmtId="192" fontId="51" fillId="33" borderId="18" xfId="0" applyNumberFormat="1" applyFont="1" applyFill="1" applyBorder="1" applyAlignment="1" applyProtection="1">
      <alignment horizontal="centerContinuous"/>
      <protection hidden="1"/>
    </xf>
    <xf numFmtId="192" fontId="51" fillId="33" borderId="12" xfId="0" applyNumberFormat="1" applyFont="1" applyFill="1" applyBorder="1" applyAlignment="1" applyProtection="1">
      <alignment horizontal="centerContinuous"/>
      <protection hidden="1"/>
    </xf>
    <xf numFmtId="190" fontId="51" fillId="33" borderId="17" xfId="62" applyFont="1" applyFill="1" applyBorder="1" applyAlignment="1" applyProtection="1">
      <alignment horizontal="centerContinuous"/>
      <protection hidden="1"/>
    </xf>
    <xf numFmtId="192" fontId="51" fillId="33" borderId="14" xfId="0" applyFont="1" applyFill="1" applyBorder="1" applyAlignment="1" applyProtection="1">
      <alignment horizontal="centerContinuous"/>
      <protection hidden="1"/>
    </xf>
    <xf numFmtId="192" fontId="51" fillId="33" borderId="15" xfId="0" applyFont="1" applyFill="1" applyBorder="1" applyAlignment="1" applyProtection="1">
      <alignment horizontal="centerContinuous"/>
      <protection hidden="1"/>
    </xf>
    <xf numFmtId="192" fontId="52" fillId="33" borderId="14" xfId="0" applyNumberFormat="1" applyFont="1" applyFill="1" applyBorder="1" applyAlignment="1" applyProtection="1" quotePrefix="1">
      <alignment horizontal="left"/>
      <protection hidden="1"/>
    </xf>
    <xf numFmtId="192" fontId="52" fillId="33" borderId="0" xfId="0" applyNumberFormat="1" applyFont="1" applyFill="1" applyBorder="1" applyAlignment="1" applyProtection="1" quotePrefix="1">
      <alignment horizontal="center"/>
      <protection hidden="1"/>
    </xf>
    <xf numFmtId="192" fontId="52" fillId="33" borderId="15" xfId="0" applyNumberFormat="1" applyFont="1" applyFill="1" applyBorder="1" applyAlignment="1" applyProtection="1" quotePrefix="1">
      <alignment horizontal="center"/>
      <protection hidden="1"/>
    </xf>
    <xf numFmtId="192" fontId="52" fillId="33" borderId="0" xfId="0" applyNumberFormat="1" applyFont="1" applyFill="1" applyBorder="1" applyAlignment="1" applyProtection="1">
      <alignment/>
      <protection hidden="1"/>
    </xf>
    <xf numFmtId="192" fontId="52" fillId="33" borderId="0" xfId="0" applyFont="1" applyFill="1" applyBorder="1" applyAlignment="1" applyProtection="1">
      <alignment/>
      <protection hidden="1"/>
    </xf>
    <xf numFmtId="192" fontId="52" fillId="33" borderId="10" xfId="0" applyNumberFormat="1" applyFont="1" applyFill="1" applyBorder="1" applyAlignment="1" applyProtection="1" quotePrefix="1">
      <alignment horizontal="left"/>
      <protection hidden="1"/>
    </xf>
    <xf numFmtId="192" fontId="52" fillId="33" borderId="19" xfId="0" applyFont="1" applyFill="1" applyBorder="1" applyAlignment="1" applyProtection="1">
      <alignment/>
      <protection hidden="1"/>
    </xf>
    <xf numFmtId="192" fontId="52" fillId="33" borderId="23" xfId="0" applyNumberFormat="1" applyFont="1" applyFill="1" applyBorder="1" applyAlignment="1" applyProtection="1" quotePrefix="1">
      <alignment horizontal="center"/>
      <protection hidden="1"/>
    </xf>
    <xf numFmtId="192" fontId="13" fillId="0" borderId="14" xfId="0" applyFont="1" applyBorder="1" applyAlignment="1" applyProtection="1">
      <alignment/>
      <protection locked="0"/>
    </xf>
    <xf numFmtId="192" fontId="0" fillId="0" borderId="0" xfId="0" applyAlignment="1" applyProtection="1">
      <alignment/>
      <protection locked="0"/>
    </xf>
    <xf numFmtId="192" fontId="0" fillId="0" borderId="0" xfId="0" applyAlignment="1" applyProtection="1">
      <alignment horizontal="center"/>
      <protection locked="0"/>
    </xf>
    <xf numFmtId="192" fontId="1" fillId="0" borderId="10" xfId="0" applyFont="1" applyBorder="1" applyAlignment="1">
      <alignment/>
    </xf>
    <xf numFmtId="192" fontId="0" fillId="0" borderId="23" xfId="0" applyBorder="1" applyAlignment="1" applyProtection="1">
      <alignment/>
      <protection locked="0"/>
    </xf>
    <xf numFmtId="192" fontId="13" fillId="0" borderId="21" xfId="0" applyFont="1" applyFill="1" applyBorder="1" applyAlignment="1" applyProtection="1">
      <alignment/>
      <protection locked="0"/>
    </xf>
    <xf numFmtId="192" fontId="36" fillId="0" borderId="25" xfId="0" applyFont="1" applyBorder="1" applyAlignment="1" applyProtection="1">
      <alignment/>
      <protection hidden="1"/>
    </xf>
    <xf numFmtId="192" fontId="20" fillId="0" borderId="26" xfId="0" applyNumberFormat="1" applyFont="1" applyFill="1" applyBorder="1" applyAlignment="1" applyProtection="1">
      <alignment/>
      <protection locked="0"/>
    </xf>
    <xf numFmtId="192" fontId="12" fillId="0" borderId="27" xfId="0" applyNumberFormat="1" applyFont="1" applyFill="1" applyBorder="1" applyAlignment="1" applyProtection="1">
      <alignment/>
      <protection hidden="1"/>
    </xf>
    <xf numFmtId="204" fontId="4" fillId="0" borderId="0" xfId="0" applyNumberFormat="1" applyFont="1" applyAlignment="1">
      <alignment/>
    </xf>
    <xf numFmtId="192" fontId="0" fillId="0" borderId="0" xfId="0" applyFill="1" applyAlignment="1">
      <alignment/>
    </xf>
    <xf numFmtId="192" fontId="12" fillId="35" borderId="19" xfId="0" applyNumberFormat="1" applyFont="1" applyFill="1" applyBorder="1" applyAlignment="1" applyProtection="1">
      <alignment/>
      <protection/>
    </xf>
    <xf numFmtId="192" fontId="4" fillId="35" borderId="23" xfId="0" applyNumberFormat="1" applyFont="1" applyFill="1" applyBorder="1" applyAlignment="1" applyProtection="1">
      <alignment/>
      <protection hidden="1"/>
    </xf>
    <xf numFmtId="192" fontId="36" fillId="0" borderId="0" xfId="0" applyNumberFormat="1" applyFont="1" applyFill="1" applyBorder="1" applyAlignment="1" applyProtection="1">
      <alignment/>
      <protection hidden="1"/>
    </xf>
    <xf numFmtId="192" fontId="36" fillId="0" borderId="11" xfId="0" applyNumberFormat="1" applyFont="1" applyFill="1" applyBorder="1" applyAlignment="1" applyProtection="1">
      <alignment/>
      <protection hidden="1"/>
    </xf>
    <xf numFmtId="192" fontId="36" fillId="0" borderId="14" xfId="0" applyNumberFormat="1" applyFont="1" applyFill="1" applyBorder="1" applyAlignment="1" applyProtection="1">
      <alignment/>
      <protection hidden="1"/>
    </xf>
    <xf numFmtId="192" fontId="36" fillId="0" borderId="0" xfId="0" applyNumberFormat="1" applyFont="1" applyFill="1" applyBorder="1" applyAlignment="1" applyProtection="1">
      <alignment horizontal="center"/>
      <protection hidden="1"/>
    </xf>
    <xf numFmtId="192" fontId="36" fillId="0" borderId="0" xfId="0" applyNumberFormat="1" applyFont="1" applyFill="1" applyBorder="1" applyAlignment="1" applyProtection="1">
      <alignment horizontal="left"/>
      <protection hidden="1"/>
    </xf>
    <xf numFmtId="192" fontId="36" fillId="0" borderId="21" xfId="0" applyNumberFormat="1" applyFont="1" applyFill="1" applyBorder="1" applyAlignment="1" applyProtection="1">
      <alignment/>
      <protection hidden="1"/>
    </xf>
    <xf numFmtId="197" fontId="36" fillId="0" borderId="0" xfId="0" applyNumberFormat="1" applyFont="1" applyFill="1" applyBorder="1" applyAlignment="1" applyProtection="1">
      <alignment horizontal="center"/>
      <protection hidden="1"/>
    </xf>
    <xf numFmtId="192" fontId="36" fillId="0" borderId="21" xfId="0" applyNumberFormat="1" applyFont="1" applyFill="1" applyBorder="1" applyAlignment="1" applyProtection="1">
      <alignment horizontal="center"/>
      <protection hidden="1"/>
    </xf>
    <xf numFmtId="192" fontId="36" fillId="0" borderId="16" xfId="0" applyNumberFormat="1" applyFont="1" applyFill="1" applyBorder="1" applyAlignment="1" applyProtection="1">
      <alignment/>
      <protection hidden="1"/>
    </xf>
    <xf numFmtId="192" fontId="38" fillId="0" borderId="0" xfId="0" applyNumberFormat="1" applyFont="1" applyFill="1" applyBorder="1" applyAlignment="1" applyProtection="1">
      <alignment/>
      <protection hidden="1"/>
    </xf>
    <xf numFmtId="192" fontId="36" fillId="0" borderId="22" xfId="0" applyNumberFormat="1" applyFont="1" applyFill="1" applyBorder="1" applyAlignment="1" applyProtection="1">
      <alignment/>
      <protection hidden="1"/>
    </xf>
    <xf numFmtId="192" fontId="36" fillId="0" borderId="23" xfId="0" applyNumberFormat="1" applyFont="1" applyFill="1" applyBorder="1" applyAlignment="1" applyProtection="1">
      <alignment/>
      <protection hidden="1"/>
    </xf>
    <xf numFmtId="192" fontId="36" fillId="0" borderId="13" xfId="0" applyNumberFormat="1" applyFont="1" applyFill="1" applyBorder="1" applyAlignment="1" applyProtection="1">
      <alignment/>
      <protection hidden="1"/>
    </xf>
    <xf numFmtId="192" fontId="36" fillId="0" borderId="19" xfId="0" applyNumberFormat="1" applyFont="1" applyFill="1" applyBorder="1" applyAlignment="1" applyProtection="1">
      <alignment/>
      <protection hidden="1"/>
    </xf>
    <xf numFmtId="2" fontId="53" fillId="0" borderId="0" xfId="0" applyNumberFormat="1" applyFont="1" applyAlignment="1" applyProtection="1">
      <alignment/>
      <protection hidden="1"/>
    </xf>
    <xf numFmtId="192" fontId="4" fillId="0" borderId="15" xfId="0" applyFont="1" applyBorder="1" applyAlignment="1">
      <alignment horizontal="center"/>
    </xf>
    <xf numFmtId="192" fontId="36" fillId="0" borderId="15" xfId="0" applyFont="1" applyBorder="1" applyAlignment="1" applyProtection="1">
      <alignment horizontal="center"/>
      <protection hidden="1"/>
    </xf>
    <xf numFmtId="192" fontId="54" fillId="0" borderId="0" xfId="0" applyNumberFormat="1" applyFont="1" applyFill="1" applyBorder="1" applyAlignment="1" applyProtection="1">
      <alignment/>
      <protection hidden="1"/>
    </xf>
    <xf numFmtId="192" fontId="54" fillId="0" borderId="0" xfId="0" applyNumberFormat="1" applyFont="1" applyFill="1" applyBorder="1" applyAlignment="1" applyProtection="1">
      <alignment/>
      <protection hidden="1"/>
    </xf>
    <xf numFmtId="1" fontId="1" fillId="0" borderId="10" xfId="0" applyNumberFormat="1" applyFont="1" applyBorder="1" applyAlignment="1" applyProtection="1">
      <alignment/>
      <protection hidden="1"/>
    </xf>
    <xf numFmtId="1" fontId="4" fillId="0" borderId="19" xfId="0" applyNumberFormat="1" applyFont="1" applyBorder="1" applyAlignment="1" applyProtection="1">
      <alignment horizontal="center"/>
      <protection hidden="1"/>
    </xf>
    <xf numFmtId="1" fontId="4" fillId="0" borderId="19" xfId="0" applyNumberFormat="1" applyFont="1" applyBorder="1" applyAlignment="1" applyProtection="1">
      <alignment/>
      <protection hidden="1"/>
    </xf>
    <xf numFmtId="1" fontId="4" fillId="0" borderId="0" xfId="0" applyNumberFormat="1" applyFont="1" applyAlignment="1" applyProtection="1">
      <alignment/>
      <protection hidden="1"/>
    </xf>
    <xf numFmtId="1" fontId="4" fillId="0" borderId="14" xfId="0" applyNumberFormat="1" applyFont="1" applyBorder="1" applyAlignment="1" applyProtection="1">
      <alignment/>
      <protection hidden="1"/>
    </xf>
    <xf numFmtId="1" fontId="4" fillId="0" borderId="0" xfId="0" applyNumberFormat="1" applyFont="1" applyBorder="1" applyAlignment="1" applyProtection="1">
      <alignment horizontal="center"/>
      <protection hidden="1"/>
    </xf>
    <xf numFmtId="1" fontId="4" fillId="0" borderId="0" xfId="0" applyNumberFormat="1" applyFont="1" applyBorder="1" applyAlignment="1" applyProtection="1">
      <alignment/>
      <protection hidden="1"/>
    </xf>
    <xf numFmtId="1" fontId="4" fillId="0" borderId="14" xfId="0" applyNumberFormat="1" applyFont="1" applyBorder="1" applyAlignment="1" applyProtection="1">
      <alignment horizontal="center"/>
      <protection hidden="1"/>
    </xf>
    <xf numFmtId="1" fontId="4" fillId="0" borderId="20" xfId="0" applyNumberFormat="1" applyFont="1" applyBorder="1" applyAlignment="1" applyProtection="1">
      <alignment horizontal="center"/>
      <protection hidden="1"/>
    </xf>
    <xf numFmtId="1" fontId="4" fillId="0" borderId="21" xfId="0" applyNumberFormat="1" applyFont="1" applyBorder="1" applyAlignment="1" applyProtection="1">
      <alignment horizontal="center"/>
      <protection hidden="1"/>
    </xf>
    <xf numFmtId="1" fontId="4" fillId="0" borderId="21" xfId="0" applyNumberFormat="1" applyFont="1" applyBorder="1" applyAlignment="1" applyProtection="1">
      <alignment/>
      <protection hidden="1"/>
    </xf>
    <xf numFmtId="1" fontId="36" fillId="0" borderId="11" xfId="0" applyNumberFormat="1" applyFont="1" applyBorder="1" applyAlignment="1" applyProtection="1">
      <alignment horizontal="center"/>
      <protection hidden="1"/>
    </xf>
    <xf numFmtId="1" fontId="36" fillId="0" borderId="0" xfId="0" applyNumberFormat="1" applyFont="1" applyBorder="1" applyAlignment="1" applyProtection="1">
      <alignment horizontal="center"/>
      <protection hidden="1"/>
    </xf>
    <xf numFmtId="1" fontId="36" fillId="0" borderId="21" xfId="0" applyNumberFormat="1" applyFont="1" applyBorder="1" applyAlignment="1" applyProtection="1">
      <alignment horizontal="center"/>
      <protection hidden="1"/>
    </xf>
    <xf numFmtId="204" fontId="4" fillId="0" borderId="0" xfId="0" applyNumberFormat="1" applyFont="1" applyFill="1" applyBorder="1" applyAlignment="1">
      <alignment horizontal="center"/>
    </xf>
    <xf numFmtId="204" fontId="4" fillId="0" borderId="0" xfId="0" applyNumberFormat="1" applyFont="1" applyAlignment="1">
      <alignment horizontal="center"/>
    </xf>
    <xf numFmtId="204" fontId="4" fillId="0" borderId="0" xfId="0" applyNumberFormat="1" applyFont="1" applyFill="1" applyBorder="1" applyAlignment="1" applyProtection="1">
      <alignment horizontal="center"/>
      <protection hidden="1"/>
    </xf>
    <xf numFmtId="204" fontId="4" fillId="0" borderId="0" xfId="0" applyNumberFormat="1" applyFont="1" applyBorder="1" applyAlignment="1" applyProtection="1">
      <alignment/>
      <protection hidden="1"/>
    </xf>
    <xf numFmtId="204" fontId="4" fillId="0" borderId="0" xfId="0" applyNumberFormat="1" applyFont="1" applyAlignment="1" applyProtection="1">
      <alignment/>
      <protection hidden="1"/>
    </xf>
    <xf numFmtId="204" fontId="4" fillId="0" borderId="0" xfId="0" applyNumberFormat="1" applyFont="1" applyBorder="1" applyAlignment="1">
      <alignment horizontal="center"/>
    </xf>
    <xf numFmtId="204" fontId="4" fillId="0" borderId="0" xfId="0" applyNumberFormat="1" applyFont="1" applyBorder="1" applyAlignment="1" applyProtection="1">
      <alignment horizontal="center"/>
      <protection hidden="1"/>
    </xf>
    <xf numFmtId="204" fontId="4" fillId="0" borderId="0" xfId="0" applyNumberFormat="1" applyFont="1" applyAlignment="1" applyProtection="1">
      <alignment/>
      <protection/>
    </xf>
    <xf numFmtId="204" fontId="4" fillId="0" borderId="0" xfId="0" applyNumberFormat="1" applyFont="1" applyBorder="1" applyAlignment="1" applyProtection="1">
      <alignment horizontal="center"/>
      <protection/>
    </xf>
    <xf numFmtId="204" fontId="4" fillId="0" borderId="0" xfId="0" applyNumberFormat="1" applyFont="1" applyBorder="1" applyAlignment="1">
      <alignment/>
    </xf>
    <xf numFmtId="204" fontId="4" fillId="0" borderId="0" xfId="68" applyNumberFormat="1" applyFont="1" applyBorder="1" applyAlignment="1" applyProtection="1">
      <alignment/>
      <protection hidden="1"/>
    </xf>
    <xf numFmtId="204" fontId="3" fillId="0" borderId="0" xfId="0" applyNumberFormat="1" applyFont="1" applyBorder="1" applyAlignment="1" applyProtection="1">
      <alignment/>
      <protection hidden="1"/>
    </xf>
    <xf numFmtId="204" fontId="14" fillId="0" borderId="0" xfId="0" applyNumberFormat="1" applyFont="1" applyBorder="1" applyAlignment="1" applyProtection="1">
      <alignment horizontal="center"/>
      <protection hidden="1"/>
    </xf>
    <xf numFmtId="204" fontId="14" fillId="0" borderId="0" xfId="68" applyNumberFormat="1" applyFont="1" applyBorder="1" applyAlignment="1" applyProtection="1">
      <alignment/>
      <protection hidden="1"/>
    </xf>
    <xf numFmtId="204" fontId="14" fillId="0" borderId="0" xfId="0" applyNumberFormat="1" applyFont="1" applyBorder="1" applyAlignment="1" applyProtection="1">
      <alignment/>
      <protection hidden="1"/>
    </xf>
    <xf numFmtId="2" fontId="13" fillId="0" borderId="12" xfId="0" applyNumberFormat="1" applyFont="1" applyBorder="1" applyAlignment="1" applyProtection="1">
      <alignment horizontal="center"/>
      <protection locked="0"/>
    </xf>
    <xf numFmtId="2" fontId="13" fillId="0" borderId="17" xfId="0" applyNumberFormat="1" applyFont="1" applyBorder="1" applyAlignment="1" applyProtection="1">
      <alignment horizontal="center"/>
      <protection locked="0"/>
    </xf>
    <xf numFmtId="1" fontId="13" fillId="0" borderId="12" xfId="0" applyNumberFormat="1" applyFont="1" applyBorder="1" applyAlignment="1" applyProtection="1">
      <alignment horizontal="center"/>
      <protection locked="0"/>
    </xf>
    <xf numFmtId="1" fontId="13" fillId="0" borderId="17" xfId="0" applyNumberFormat="1" applyFont="1" applyBorder="1" applyAlignment="1" applyProtection="1">
      <alignment horizontal="center"/>
      <protection locked="0"/>
    </xf>
    <xf numFmtId="192" fontId="11" fillId="0" borderId="0" xfId="0" applyFont="1" applyFill="1" applyBorder="1" applyAlignment="1">
      <alignment/>
    </xf>
    <xf numFmtId="192" fontId="36" fillId="0" borderId="0" xfId="0" applyFont="1" applyAlignment="1">
      <alignment/>
    </xf>
    <xf numFmtId="192" fontId="36" fillId="0" borderId="0" xfId="0" applyFont="1" applyFill="1" applyAlignment="1">
      <alignment/>
    </xf>
    <xf numFmtId="192" fontId="36" fillId="0" borderId="0" xfId="0" applyFont="1" applyFill="1" applyBorder="1" applyAlignment="1">
      <alignment/>
    </xf>
    <xf numFmtId="192" fontId="37" fillId="0" borderId="0" xfId="0" applyFont="1" applyFill="1" applyAlignment="1">
      <alignment/>
    </xf>
    <xf numFmtId="192" fontId="12" fillId="0" borderId="26" xfId="0" applyNumberFormat="1" applyFont="1" applyFill="1" applyBorder="1" applyAlignment="1" applyProtection="1">
      <alignment/>
      <protection/>
    </xf>
    <xf numFmtId="192" fontId="4" fillId="0" borderId="12" xfId="0" applyFont="1" applyBorder="1" applyAlignment="1" applyProtection="1">
      <alignment/>
      <protection/>
    </xf>
    <xf numFmtId="192" fontId="1" fillId="0" borderId="0" xfId="0" applyFont="1" applyBorder="1" applyAlignment="1" applyProtection="1">
      <alignment/>
      <protection/>
    </xf>
    <xf numFmtId="192" fontId="1" fillId="0" borderId="0" xfId="0" applyFont="1" applyAlignment="1" applyProtection="1">
      <alignment/>
      <protection/>
    </xf>
    <xf numFmtId="192" fontId="4" fillId="0" borderId="10" xfId="0" applyFont="1" applyBorder="1" applyAlignment="1" applyProtection="1">
      <alignment/>
      <protection/>
    </xf>
    <xf numFmtId="192" fontId="4" fillId="0" borderId="14" xfId="0" applyFont="1" applyBorder="1" applyAlignment="1" applyProtection="1">
      <alignment/>
      <protection/>
    </xf>
    <xf numFmtId="192" fontId="20" fillId="0" borderId="22" xfId="0" applyFont="1" applyFill="1" applyBorder="1" applyAlignment="1" applyProtection="1">
      <alignment horizontal="right"/>
      <protection/>
    </xf>
    <xf numFmtId="192" fontId="20" fillId="0" borderId="22" xfId="0" applyNumberFormat="1" applyFont="1" applyFill="1" applyBorder="1" applyAlignment="1" applyProtection="1">
      <alignment/>
      <protection/>
    </xf>
    <xf numFmtId="192" fontId="4" fillId="0" borderId="23" xfId="0" applyFont="1" applyBorder="1" applyAlignment="1" applyProtection="1">
      <alignment/>
      <protection/>
    </xf>
    <xf numFmtId="192" fontId="4" fillId="35" borderId="24" xfId="0" applyFont="1" applyFill="1" applyBorder="1" applyAlignment="1" applyProtection="1">
      <alignment horizontal="center"/>
      <protection/>
    </xf>
    <xf numFmtId="192" fontId="4" fillId="0" borderId="19" xfId="0" applyFont="1" applyBorder="1" applyAlignment="1" applyProtection="1">
      <alignment/>
      <protection/>
    </xf>
    <xf numFmtId="192" fontId="20" fillId="0" borderId="22" xfId="0" applyNumberFormat="1" applyFont="1" applyBorder="1" applyAlignment="1" applyProtection="1">
      <alignment/>
      <protection/>
    </xf>
    <xf numFmtId="192" fontId="4" fillId="0" borderId="22" xfId="0" applyFont="1" applyBorder="1" applyAlignment="1" applyProtection="1" quotePrefix="1">
      <alignment horizontal="left"/>
      <protection/>
    </xf>
    <xf numFmtId="192" fontId="13" fillId="0" borderId="22" xfId="0" applyNumberFormat="1" applyFont="1" applyBorder="1" applyAlignment="1" applyProtection="1">
      <alignment/>
      <protection/>
    </xf>
    <xf numFmtId="192" fontId="4" fillId="0" borderId="22" xfId="0" applyFont="1" applyBorder="1" applyAlignment="1" applyProtection="1">
      <alignment/>
      <protection/>
    </xf>
    <xf numFmtId="192" fontId="4" fillId="0" borderId="24" xfId="0" applyFont="1" applyBorder="1" applyAlignment="1" applyProtection="1">
      <alignment/>
      <protection/>
    </xf>
    <xf numFmtId="192" fontId="4" fillId="0" borderId="13" xfId="0" applyFont="1" applyBorder="1" applyAlignment="1" applyProtection="1">
      <alignment/>
      <protection/>
    </xf>
    <xf numFmtId="192" fontId="4" fillId="0" borderId="0" xfId="0" applyFont="1" applyFill="1" applyBorder="1" applyAlignment="1" applyProtection="1">
      <alignment/>
      <protection/>
    </xf>
    <xf numFmtId="192" fontId="4" fillId="35" borderId="19" xfId="0" applyNumberFormat="1" applyFont="1" applyFill="1" applyBorder="1" applyAlignment="1" applyProtection="1">
      <alignment/>
      <protection/>
    </xf>
    <xf numFmtId="192" fontId="4" fillId="35" borderId="19" xfId="0" applyFont="1" applyFill="1" applyBorder="1" applyAlignment="1" applyProtection="1">
      <alignment horizontal="center"/>
      <protection/>
    </xf>
    <xf numFmtId="192" fontId="4" fillId="0" borderId="28" xfId="0" applyNumberFormat="1" applyFont="1" applyBorder="1" applyAlignment="1" applyProtection="1">
      <alignment horizontal="center"/>
      <protection/>
    </xf>
    <xf numFmtId="192" fontId="4" fillId="0" borderId="29" xfId="0" applyFont="1" applyBorder="1" applyAlignment="1" applyProtection="1">
      <alignment/>
      <protection/>
    </xf>
    <xf numFmtId="192" fontId="4" fillId="0" borderId="30" xfId="0" applyNumberFormat="1" applyFont="1" applyBorder="1" applyAlignment="1" applyProtection="1">
      <alignment horizontal="left"/>
      <protection/>
    </xf>
    <xf numFmtId="192" fontId="13" fillId="0" borderId="31" xfId="0" applyNumberFormat="1" applyFont="1" applyBorder="1" applyAlignment="1" applyProtection="1">
      <alignment/>
      <protection/>
    </xf>
    <xf numFmtId="192" fontId="4" fillId="0" borderId="32" xfId="0" applyFont="1" applyBorder="1" applyAlignment="1" applyProtection="1">
      <alignment/>
      <protection/>
    </xf>
    <xf numFmtId="192" fontId="12" fillId="0" borderId="33" xfId="0" applyNumberFormat="1" applyFont="1" applyFill="1" applyBorder="1" applyAlignment="1" applyProtection="1">
      <alignment horizontal="center"/>
      <protection/>
    </xf>
    <xf numFmtId="192" fontId="13" fillId="0" borderId="34" xfId="0" applyNumberFormat="1" applyFont="1" applyBorder="1" applyAlignment="1" applyProtection="1">
      <alignment/>
      <protection/>
    </xf>
    <xf numFmtId="192" fontId="3" fillId="0" borderId="35" xfId="0" applyNumberFormat="1" applyFont="1" applyBorder="1" applyAlignment="1" applyProtection="1">
      <alignment horizontal="center"/>
      <protection/>
    </xf>
    <xf numFmtId="192" fontId="4" fillId="0" borderId="28" xfId="0" applyNumberFormat="1" applyFont="1" applyBorder="1" applyAlignment="1" applyProtection="1" quotePrefix="1">
      <alignment horizontal="center"/>
      <protection/>
    </xf>
    <xf numFmtId="192" fontId="13" fillId="0" borderId="29" xfId="0" applyNumberFormat="1" applyFont="1" applyBorder="1" applyAlignment="1" applyProtection="1">
      <alignment/>
      <protection/>
    </xf>
    <xf numFmtId="192" fontId="4" fillId="0" borderId="30" xfId="0" applyNumberFormat="1" applyFont="1" applyBorder="1" applyAlignment="1" applyProtection="1">
      <alignment horizontal="center"/>
      <protection/>
    </xf>
    <xf numFmtId="192" fontId="4" fillId="0" borderId="32" xfId="0" applyNumberFormat="1" applyFont="1" applyBorder="1" applyAlignment="1" applyProtection="1">
      <alignment horizontal="center"/>
      <protection/>
    </xf>
    <xf numFmtId="192" fontId="4" fillId="0" borderId="33" xfId="0" applyNumberFormat="1" applyFont="1" applyBorder="1" applyAlignment="1" applyProtection="1">
      <alignment horizontal="center"/>
      <protection/>
    </xf>
    <xf numFmtId="192" fontId="4" fillId="0" borderId="36" xfId="0" applyFont="1" applyBorder="1" applyAlignment="1" applyProtection="1">
      <alignment/>
      <protection/>
    </xf>
    <xf numFmtId="192" fontId="4" fillId="0" borderId="37" xfId="0" applyFont="1" applyBorder="1" applyAlignment="1" applyProtection="1">
      <alignment/>
      <protection/>
    </xf>
    <xf numFmtId="192" fontId="4" fillId="0" borderId="38" xfId="0" applyFont="1" applyBorder="1" applyAlignment="1" applyProtection="1">
      <alignment horizontal="center"/>
      <protection/>
    </xf>
    <xf numFmtId="192" fontId="4" fillId="0" borderId="39" xfId="0" applyFont="1" applyBorder="1" applyAlignment="1" applyProtection="1" quotePrefix="1">
      <alignment horizontal="left"/>
      <protection/>
    </xf>
    <xf numFmtId="192" fontId="4" fillId="0" borderId="40" xfId="0" applyFont="1" applyBorder="1" applyAlignment="1" applyProtection="1">
      <alignment/>
      <protection/>
    </xf>
    <xf numFmtId="192" fontId="4" fillId="0" borderId="40" xfId="0" applyFont="1" applyBorder="1" applyAlignment="1" applyProtection="1">
      <alignment horizontal="center"/>
      <protection/>
    </xf>
    <xf numFmtId="192" fontId="13" fillId="0" borderId="41" xfId="0" applyNumberFormat="1" applyFont="1" applyBorder="1" applyAlignment="1" applyProtection="1">
      <alignment/>
      <protection/>
    </xf>
    <xf numFmtId="192" fontId="4" fillId="0" borderId="42" xfId="0" applyFont="1" applyBorder="1" applyAlignment="1" applyProtection="1" quotePrefix="1">
      <alignment horizontal="left"/>
      <protection/>
    </xf>
    <xf numFmtId="192" fontId="13" fillId="0" borderId="43" xfId="0" applyNumberFormat="1" applyFont="1" applyBorder="1" applyAlignment="1" applyProtection="1">
      <alignment/>
      <protection/>
    </xf>
    <xf numFmtId="192" fontId="12" fillId="0" borderId="42" xfId="0" applyNumberFormat="1" applyFont="1" applyFill="1" applyBorder="1" applyAlignment="1" applyProtection="1" quotePrefix="1">
      <alignment horizontal="left"/>
      <protection/>
    </xf>
    <xf numFmtId="192" fontId="12" fillId="0" borderId="44" xfId="0" applyNumberFormat="1" applyFont="1" applyFill="1" applyBorder="1" applyAlignment="1" applyProtection="1" quotePrefix="1">
      <alignment horizontal="left"/>
      <protection/>
    </xf>
    <xf numFmtId="192" fontId="4" fillId="0" borderId="45" xfId="0" applyNumberFormat="1" applyFont="1" applyBorder="1" applyAlignment="1" applyProtection="1">
      <alignment/>
      <protection/>
    </xf>
    <xf numFmtId="192" fontId="4" fillId="0" borderId="45" xfId="0" applyNumberFormat="1" applyFont="1" applyBorder="1" applyAlignment="1" applyProtection="1">
      <alignment horizontal="center"/>
      <protection/>
    </xf>
    <xf numFmtId="192" fontId="13" fillId="0" borderId="46" xfId="0" applyNumberFormat="1" applyFont="1" applyBorder="1" applyAlignment="1" applyProtection="1">
      <alignment/>
      <protection/>
    </xf>
    <xf numFmtId="192" fontId="12" fillId="0" borderId="39" xfId="0" applyNumberFormat="1" applyFont="1" applyFill="1" applyBorder="1" applyAlignment="1" applyProtection="1">
      <alignment/>
      <protection/>
    </xf>
    <xf numFmtId="192" fontId="4" fillId="0" borderId="47" xfId="0" applyNumberFormat="1" applyFont="1" applyBorder="1" applyAlignment="1" applyProtection="1" quotePrefix="1">
      <alignment horizontal="right"/>
      <protection/>
    </xf>
    <xf numFmtId="192" fontId="4" fillId="0" borderId="48" xfId="0" applyNumberFormat="1" applyFont="1" applyBorder="1" applyAlignment="1" applyProtection="1">
      <alignment horizontal="center"/>
      <protection/>
    </xf>
    <xf numFmtId="192" fontId="4" fillId="0" borderId="33" xfId="0" applyNumberFormat="1" applyFont="1" applyBorder="1" applyAlignment="1" applyProtection="1">
      <alignment horizontal="right"/>
      <protection/>
    </xf>
    <xf numFmtId="192" fontId="4" fillId="0" borderId="10" xfId="0" applyNumberFormat="1" applyFont="1" applyBorder="1" applyAlignment="1" applyProtection="1">
      <alignment horizontal="center"/>
      <protection/>
    </xf>
    <xf numFmtId="192" fontId="12" fillId="0" borderId="35" xfId="0" applyNumberFormat="1" applyFont="1" applyFill="1" applyBorder="1" applyAlignment="1" applyProtection="1">
      <alignment/>
      <protection/>
    </xf>
    <xf numFmtId="192" fontId="12" fillId="0" borderId="28" xfId="0" applyNumberFormat="1" applyFont="1" applyFill="1" applyBorder="1" applyAlignment="1" applyProtection="1">
      <alignment/>
      <protection/>
    </xf>
    <xf numFmtId="192" fontId="4" fillId="0" borderId="49" xfId="0" applyNumberFormat="1" applyFont="1" applyBorder="1" applyAlignment="1" applyProtection="1">
      <alignment horizontal="center"/>
      <protection/>
    </xf>
    <xf numFmtId="192" fontId="4" fillId="0" borderId="30" xfId="0" applyFont="1" applyBorder="1" applyAlignment="1" applyProtection="1">
      <alignment/>
      <protection/>
    </xf>
    <xf numFmtId="192" fontId="4" fillId="0" borderId="50" xfId="0" applyFont="1" applyBorder="1" applyAlignment="1" applyProtection="1">
      <alignment/>
      <protection/>
    </xf>
    <xf numFmtId="192" fontId="12" fillId="0" borderId="42" xfId="0" applyNumberFormat="1" applyFont="1" applyFill="1" applyBorder="1" applyAlignment="1" applyProtection="1">
      <alignment/>
      <protection/>
    </xf>
    <xf numFmtId="192" fontId="4" fillId="0" borderId="45" xfId="0" applyNumberFormat="1" applyFont="1" applyBorder="1" applyAlignment="1" applyProtection="1">
      <alignment horizontal="left"/>
      <protection/>
    </xf>
    <xf numFmtId="192" fontId="4" fillId="0" borderId="28" xfId="0" applyFont="1" applyBorder="1" applyAlignment="1" applyProtection="1">
      <alignment/>
      <protection/>
    </xf>
    <xf numFmtId="192" fontId="4" fillId="0" borderId="31" xfId="0" applyFont="1" applyBorder="1" applyAlignment="1" applyProtection="1">
      <alignment/>
      <protection/>
    </xf>
    <xf numFmtId="192" fontId="4" fillId="0" borderId="42" xfId="0" applyFont="1" applyBorder="1" applyAlignment="1" applyProtection="1">
      <alignment/>
      <protection/>
    </xf>
    <xf numFmtId="192" fontId="4" fillId="0" borderId="51" xfId="0" applyNumberFormat="1" applyFont="1" applyFill="1" applyBorder="1" applyAlignment="1" applyProtection="1">
      <alignment/>
      <protection/>
    </xf>
    <xf numFmtId="192" fontId="4" fillId="0" borderId="44" xfId="0" applyNumberFormat="1" applyFont="1" applyFill="1" applyBorder="1" applyAlignment="1" applyProtection="1">
      <alignment/>
      <protection/>
    </xf>
    <xf numFmtId="192" fontId="4" fillId="0" borderId="45" xfId="0" applyFont="1" applyBorder="1" applyAlignment="1" applyProtection="1">
      <alignment/>
      <protection/>
    </xf>
    <xf numFmtId="192" fontId="4" fillId="0" borderId="45" xfId="0" applyFont="1" applyBorder="1" applyAlignment="1" applyProtection="1">
      <alignment horizontal="center"/>
      <protection/>
    </xf>
    <xf numFmtId="192" fontId="18" fillId="0" borderId="52" xfId="0" applyNumberFormat="1" applyFont="1" applyFill="1" applyBorder="1" applyAlignment="1" applyProtection="1" quotePrefix="1">
      <alignment horizontal="left"/>
      <protection/>
    </xf>
    <xf numFmtId="192" fontId="4" fillId="0" borderId="53" xfId="0" applyFont="1" applyBorder="1" applyAlignment="1" applyProtection="1">
      <alignment/>
      <protection/>
    </xf>
    <xf numFmtId="192" fontId="12" fillId="0" borderId="53" xfId="0" applyNumberFormat="1" applyFont="1" applyFill="1" applyBorder="1" applyAlignment="1" applyProtection="1">
      <alignment horizontal="left"/>
      <protection/>
    </xf>
    <xf numFmtId="192" fontId="12" fillId="0" borderId="54" xfId="0" applyNumberFormat="1" applyFont="1" applyFill="1" applyBorder="1" applyAlignment="1" applyProtection="1">
      <alignment horizontal="left"/>
      <protection/>
    </xf>
    <xf numFmtId="192" fontId="4" fillId="0" borderId="33" xfId="0" applyFont="1" applyBorder="1" applyAlignment="1" applyProtection="1">
      <alignment/>
      <protection/>
    </xf>
    <xf numFmtId="192" fontId="4" fillId="0" borderId="33" xfId="0" applyFont="1" applyBorder="1" applyAlignment="1" applyProtection="1" quotePrefix="1">
      <alignment horizontal="center"/>
      <protection/>
    </xf>
    <xf numFmtId="192" fontId="4" fillId="0" borderId="34" xfId="0" applyFont="1" applyBorder="1" applyAlignment="1" applyProtection="1">
      <alignment/>
      <protection/>
    </xf>
    <xf numFmtId="192" fontId="12" fillId="0" borderId="52" xfId="0" applyNumberFormat="1" applyFont="1" applyFill="1" applyBorder="1" applyAlignment="1" applyProtection="1" quotePrefix="1">
      <alignment horizontal="left"/>
      <protection/>
    </xf>
    <xf numFmtId="192" fontId="12" fillId="0" borderId="28" xfId="0" applyNumberFormat="1" applyFont="1" applyFill="1" applyBorder="1" applyAlignment="1" applyProtection="1">
      <alignment horizontal="center"/>
      <protection/>
    </xf>
    <xf numFmtId="192" fontId="12" fillId="0" borderId="48" xfId="0" applyNumberFormat="1" applyFont="1" applyFill="1" applyBorder="1" applyAlignment="1" applyProtection="1" quotePrefix="1">
      <alignment horizontal="left"/>
      <protection/>
    </xf>
    <xf numFmtId="192" fontId="4" fillId="0" borderId="55" xfId="0" applyFont="1" applyBorder="1" applyAlignment="1" applyProtection="1">
      <alignment/>
      <protection/>
    </xf>
    <xf numFmtId="192" fontId="4" fillId="0" borderId="56" xfId="0" applyFont="1" applyBorder="1" applyAlignment="1" applyProtection="1">
      <alignment/>
      <protection/>
    </xf>
    <xf numFmtId="192" fontId="4" fillId="0" borderId="25" xfId="0" applyFont="1" applyBorder="1" applyAlignment="1" applyProtection="1">
      <alignment/>
      <protection/>
    </xf>
    <xf numFmtId="192" fontId="4" fillId="0" borderId="57" xfId="0" applyFont="1" applyBorder="1" applyAlignment="1" applyProtection="1">
      <alignment/>
      <protection/>
    </xf>
    <xf numFmtId="192" fontId="1" fillId="35" borderId="56" xfId="0" applyFont="1" applyFill="1" applyBorder="1" applyAlignment="1" applyProtection="1">
      <alignment/>
      <protection/>
    </xf>
    <xf numFmtId="192" fontId="4" fillId="35" borderId="25" xfId="0" applyFont="1" applyFill="1" applyBorder="1" applyAlignment="1" applyProtection="1">
      <alignment/>
      <protection/>
    </xf>
    <xf numFmtId="192" fontId="4" fillId="35" borderId="57" xfId="0" applyFont="1" applyFill="1" applyBorder="1" applyAlignment="1" applyProtection="1">
      <alignment/>
      <protection/>
    </xf>
    <xf numFmtId="192" fontId="4" fillId="0" borderId="39" xfId="0" applyFont="1" applyFill="1" applyBorder="1" applyAlignment="1" applyProtection="1">
      <alignment/>
      <protection/>
    </xf>
    <xf numFmtId="192" fontId="12" fillId="0" borderId="40" xfId="0" applyNumberFormat="1" applyFont="1" applyFill="1" applyBorder="1" applyAlignment="1" applyProtection="1">
      <alignment horizontal="center"/>
      <protection/>
    </xf>
    <xf numFmtId="192" fontId="4" fillId="0" borderId="40" xfId="0" applyFont="1" applyFill="1" applyBorder="1" applyAlignment="1" applyProtection="1">
      <alignment horizontal="center"/>
      <protection/>
    </xf>
    <xf numFmtId="192" fontId="13" fillId="0" borderId="41" xfId="0" applyNumberFormat="1" applyFont="1" applyFill="1" applyBorder="1" applyAlignment="1" applyProtection="1">
      <alignment/>
      <protection/>
    </xf>
    <xf numFmtId="192" fontId="4" fillId="0" borderId="58" xfId="0" applyFont="1" applyFill="1" applyBorder="1" applyAlignment="1" applyProtection="1">
      <alignment/>
      <protection/>
    </xf>
    <xf numFmtId="192" fontId="13" fillId="0" borderId="59" xfId="0" applyNumberFormat="1" applyFont="1" applyFill="1" applyBorder="1" applyAlignment="1" applyProtection="1">
      <alignment/>
      <protection/>
    </xf>
    <xf numFmtId="192" fontId="4" fillId="0" borderId="48" xfId="0" applyFont="1" applyBorder="1" applyAlignment="1" applyProtection="1">
      <alignment/>
      <protection/>
    </xf>
    <xf numFmtId="192" fontId="4" fillId="0" borderId="60" xfId="0" applyFont="1" applyBorder="1" applyAlignment="1" applyProtection="1">
      <alignment/>
      <protection/>
    </xf>
    <xf numFmtId="192" fontId="4" fillId="0" borderId="53" xfId="0" applyFont="1" applyFill="1" applyBorder="1" applyAlignment="1" applyProtection="1">
      <alignment/>
      <protection/>
    </xf>
    <xf numFmtId="192" fontId="4" fillId="0" borderId="54" xfId="0" applyFont="1" applyFill="1" applyBorder="1" applyAlignment="1" applyProtection="1">
      <alignment/>
      <protection/>
    </xf>
    <xf numFmtId="192" fontId="4" fillId="0" borderId="61" xfId="0" applyFont="1" applyBorder="1" applyAlignment="1" applyProtection="1">
      <alignment/>
      <protection/>
    </xf>
    <xf numFmtId="192" fontId="4" fillId="0" borderId="62" xfId="0" applyFont="1" applyBorder="1" applyAlignment="1" applyProtection="1">
      <alignment/>
      <protection/>
    </xf>
    <xf numFmtId="192" fontId="4" fillId="0" borderId="39" xfId="0" applyNumberFormat="1" applyFont="1" applyFill="1" applyBorder="1" applyAlignment="1" applyProtection="1">
      <alignment/>
      <protection/>
    </xf>
    <xf numFmtId="192" fontId="4" fillId="0" borderId="62" xfId="0" applyFont="1" applyBorder="1" applyAlignment="1" applyProtection="1">
      <alignment horizontal="center"/>
      <protection/>
    </xf>
    <xf numFmtId="192" fontId="4" fillId="35" borderId="28" xfId="0" applyFont="1" applyFill="1" applyBorder="1" applyAlignment="1" applyProtection="1">
      <alignment horizontal="center"/>
      <protection/>
    </xf>
    <xf numFmtId="192" fontId="4" fillId="35" borderId="29" xfId="0" applyFont="1" applyFill="1" applyBorder="1" applyAlignment="1" applyProtection="1">
      <alignment horizontal="center"/>
      <protection/>
    </xf>
    <xf numFmtId="192" fontId="12" fillId="0" borderId="53" xfId="0" applyNumberFormat="1" applyFont="1" applyFill="1" applyBorder="1" applyAlignment="1" applyProtection="1" quotePrefix="1">
      <alignment horizontal="left"/>
      <protection/>
    </xf>
    <xf numFmtId="192" fontId="12" fillId="0" borderId="54" xfId="0" applyNumberFormat="1" applyFont="1" applyFill="1" applyBorder="1" applyAlignment="1" applyProtection="1">
      <alignment/>
      <protection/>
    </xf>
    <xf numFmtId="192" fontId="4" fillId="0" borderId="44" xfId="0" applyFont="1" applyBorder="1" applyAlignment="1" applyProtection="1">
      <alignment/>
      <protection/>
    </xf>
    <xf numFmtId="192" fontId="12" fillId="0" borderId="48" xfId="0" applyNumberFormat="1" applyFont="1" applyFill="1" applyBorder="1" applyAlignment="1" applyProtection="1">
      <alignment/>
      <protection/>
    </xf>
    <xf numFmtId="192" fontId="4" fillId="35" borderId="63" xfId="0" applyFont="1" applyFill="1" applyBorder="1" applyAlignment="1" applyProtection="1">
      <alignment horizontal="center"/>
      <protection/>
    </xf>
    <xf numFmtId="192" fontId="4" fillId="0" borderId="54" xfId="0" applyFont="1" applyBorder="1" applyAlignment="1" applyProtection="1">
      <alignment/>
      <protection/>
    </xf>
    <xf numFmtId="192" fontId="4" fillId="35" borderId="56" xfId="0" applyFont="1" applyFill="1" applyBorder="1" applyAlignment="1" applyProtection="1">
      <alignment/>
      <protection/>
    </xf>
    <xf numFmtId="192" fontId="4" fillId="0" borderId="42" xfId="0" applyFont="1" applyBorder="1" applyAlignment="1" applyProtection="1">
      <alignment horizontal="left"/>
      <protection/>
    </xf>
    <xf numFmtId="192" fontId="4" fillId="35" borderId="64" xfId="0" applyFont="1" applyFill="1" applyBorder="1" applyAlignment="1" applyProtection="1">
      <alignment horizontal="center"/>
      <protection/>
    </xf>
    <xf numFmtId="192" fontId="4" fillId="35" borderId="65" xfId="0" applyFont="1" applyFill="1" applyBorder="1" applyAlignment="1" applyProtection="1">
      <alignment horizontal="center"/>
      <protection/>
    </xf>
    <xf numFmtId="10" fontId="4" fillId="0" borderId="23" xfId="0" applyNumberFormat="1" applyFont="1" applyBorder="1" applyAlignment="1" applyProtection="1">
      <alignment/>
      <protection/>
    </xf>
    <xf numFmtId="192" fontId="12" fillId="0" borderId="66" xfId="0" applyFont="1" applyFill="1" applyBorder="1" applyAlignment="1" applyProtection="1">
      <alignment horizontal="center"/>
      <protection/>
    </xf>
    <xf numFmtId="10" fontId="4" fillId="0" borderId="31" xfId="0" applyNumberFormat="1" applyFont="1" applyBorder="1" applyAlignment="1" applyProtection="1">
      <alignment/>
      <protection/>
    </xf>
    <xf numFmtId="192" fontId="12" fillId="0" borderId="34" xfId="0" applyFont="1" applyFill="1" applyBorder="1" applyAlignment="1" applyProtection="1">
      <alignment horizontal="center"/>
      <protection/>
    </xf>
    <xf numFmtId="192" fontId="30" fillId="35" borderId="52" xfId="0" applyNumberFormat="1" applyFont="1" applyFill="1" applyBorder="1" applyAlignment="1" applyProtection="1" quotePrefix="1">
      <alignment horizontal="left"/>
      <protection/>
    </xf>
    <xf numFmtId="192" fontId="12" fillId="35" borderId="28" xfId="0" applyFont="1" applyFill="1" applyBorder="1" applyAlignment="1" applyProtection="1">
      <alignment horizontal="center"/>
      <protection/>
    </xf>
    <xf numFmtId="192" fontId="12" fillId="35" borderId="29" xfId="0" applyFont="1" applyFill="1" applyBorder="1" applyAlignment="1" applyProtection="1">
      <alignment horizontal="center"/>
      <protection/>
    </xf>
    <xf numFmtId="192" fontId="12" fillId="0" borderId="53" xfId="0" applyFont="1" applyFill="1" applyBorder="1" applyAlignment="1" applyProtection="1">
      <alignment/>
      <protection/>
    </xf>
    <xf numFmtId="192" fontId="12" fillId="0" borderId="31" xfId="0" applyFont="1" applyFill="1" applyBorder="1" applyAlignment="1" applyProtection="1">
      <alignment horizontal="center"/>
      <protection/>
    </xf>
    <xf numFmtId="192" fontId="30" fillId="35" borderId="52" xfId="0" applyFont="1" applyFill="1" applyBorder="1" applyAlignment="1" applyProtection="1">
      <alignment/>
      <protection/>
    </xf>
    <xf numFmtId="192" fontId="4" fillId="0" borderId="0" xfId="0" applyFont="1" applyBorder="1" applyAlignment="1" applyProtection="1">
      <alignment horizontal="centerContinuous"/>
      <protection/>
    </xf>
    <xf numFmtId="192" fontId="12" fillId="35" borderId="53" xfId="0" applyNumberFormat="1" applyFont="1" applyFill="1" applyBorder="1" applyAlignment="1" applyProtection="1">
      <alignment/>
      <protection/>
    </xf>
    <xf numFmtId="192" fontId="30" fillId="0" borderId="53" xfId="0" applyNumberFormat="1" applyFont="1" applyFill="1" applyBorder="1" applyAlignment="1" applyProtection="1">
      <alignment/>
      <protection/>
    </xf>
    <xf numFmtId="192" fontId="12" fillId="0" borderId="53" xfId="0" applyNumberFormat="1" applyFont="1" applyFill="1" applyBorder="1" applyAlignment="1" applyProtection="1">
      <alignment/>
      <protection/>
    </xf>
    <xf numFmtId="192" fontId="20" fillId="0" borderId="31" xfId="0" applyNumberFormat="1" applyFont="1" applyBorder="1" applyAlignment="1" applyProtection="1">
      <alignment/>
      <protection/>
    </xf>
    <xf numFmtId="192" fontId="20" fillId="0" borderId="31" xfId="0" applyNumberFormat="1" applyFont="1" applyFill="1" applyBorder="1" applyAlignment="1" applyProtection="1">
      <alignment/>
      <protection/>
    </xf>
    <xf numFmtId="192" fontId="20" fillId="0" borderId="33" xfId="0" applyNumberFormat="1" applyFont="1" applyFill="1" applyBorder="1" applyAlignment="1" applyProtection="1">
      <alignment/>
      <protection/>
    </xf>
    <xf numFmtId="192" fontId="12" fillId="0" borderId="33" xfId="0" applyNumberFormat="1" applyFont="1" applyFill="1" applyBorder="1" applyAlignment="1" applyProtection="1">
      <alignment/>
      <protection/>
    </xf>
    <xf numFmtId="192" fontId="4" fillId="0" borderId="33" xfId="0" applyNumberFormat="1" applyFont="1" applyBorder="1" applyAlignment="1" applyProtection="1">
      <alignment/>
      <protection/>
    </xf>
    <xf numFmtId="192" fontId="12" fillId="0" borderId="34" xfId="0" applyNumberFormat="1" applyFont="1" applyFill="1" applyBorder="1" applyAlignment="1" applyProtection="1">
      <alignment/>
      <protection/>
    </xf>
    <xf numFmtId="192" fontId="2" fillId="35" borderId="39" xfId="0" applyFont="1" applyFill="1" applyBorder="1" applyAlignment="1" applyProtection="1">
      <alignment horizontal="centerContinuous"/>
      <protection/>
    </xf>
    <xf numFmtId="192" fontId="2" fillId="35" borderId="40" xfId="0" applyFont="1" applyFill="1" applyBorder="1" applyAlignment="1" applyProtection="1">
      <alignment horizontal="centerContinuous"/>
      <protection/>
    </xf>
    <xf numFmtId="192" fontId="2" fillId="35" borderId="47" xfId="0" applyFont="1" applyFill="1" applyBorder="1" applyAlignment="1" applyProtection="1">
      <alignment horizontal="centerContinuous"/>
      <protection/>
    </xf>
    <xf numFmtId="192" fontId="2" fillId="35" borderId="49" xfId="0" applyNumberFormat="1" applyFont="1" applyFill="1" applyBorder="1" applyAlignment="1" applyProtection="1">
      <alignment horizontal="centerContinuous"/>
      <protection/>
    </xf>
    <xf numFmtId="192" fontId="2" fillId="35" borderId="40" xfId="0" applyNumberFormat="1" applyFont="1" applyFill="1" applyBorder="1" applyAlignment="1" applyProtection="1">
      <alignment horizontal="centerContinuous"/>
      <protection/>
    </xf>
    <xf numFmtId="192" fontId="2" fillId="35" borderId="41" xfId="0" applyNumberFormat="1" applyFont="1" applyFill="1" applyBorder="1" applyAlignment="1" applyProtection="1">
      <alignment horizontal="centerContinuous"/>
      <protection/>
    </xf>
    <xf numFmtId="192" fontId="30" fillId="35" borderId="48" xfId="0" applyNumberFormat="1" applyFont="1" applyFill="1" applyBorder="1" applyAlignment="1" applyProtection="1">
      <alignment/>
      <protection/>
    </xf>
    <xf numFmtId="192" fontId="12" fillId="35" borderId="67" xfId="0" applyNumberFormat="1" applyFont="1" applyFill="1" applyBorder="1" applyAlignment="1" applyProtection="1">
      <alignment/>
      <protection/>
    </xf>
    <xf numFmtId="192" fontId="4" fillId="35" borderId="50" xfId="0" applyFont="1" applyFill="1" applyBorder="1" applyAlignment="1" applyProtection="1">
      <alignment horizontal="center"/>
      <protection/>
    </xf>
    <xf numFmtId="192" fontId="12" fillId="35" borderId="31" xfId="0" applyNumberFormat="1" applyFont="1" applyFill="1" applyBorder="1" applyAlignment="1" applyProtection="1">
      <alignment horizontal="center"/>
      <protection/>
    </xf>
    <xf numFmtId="192" fontId="4" fillId="0" borderId="31" xfId="0" applyNumberFormat="1" applyFont="1" applyBorder="1" applyAlignment="1" applyProtection="1">
      <alignment/>
      <protection/>
    </xf>
    <xf numFmtId="192" fontId="30" fillId="35" borderId="53" xfId="0" applyNumberFormat="1" applyFont="1" applyFill="1" applyBorder="1" applyAlignment="1" applyProtection="1">
      <alignment/>
      <protection/>
    </xf>
    <xf numFmtId="192" fontId="12" fillId="0" borderId="53" xfId="0" applyNumberFormat="1" applyFont="1" applyFill="1" applyBorder="1" applyAlignment="1" applyProtection="1">
      <alignment/>
      <protection/>
    </xf>
    <xf numFmtId="192" fontId="20" fillId="0" borderId="33" xfId="0" applyNumberFormat="1" applyFont="1" applyBorder="1" applyAlignment="1" applyProtection="1">
      <alignment/>
      <protection/>
    </xf>
    <xf numFmtId="192" fontId="13" fillId="0" borderId="33" xfId="0" applyNumberFormat="1" applyFont="1" applyBorder="1" applyAlignment="1" applyProtection="1">
      <alignment/>
      <protection/>
    </xf>
    <xf numFmtId="192" fontId="4" fillId="0" borderId="34" xfId="0" applyNumberFormat="1" applyFont="1" applyBorder="1" applyAlignment="1" applyProtection="1">
      <alignment/>
      <protection/>
    </xf>
    <xf numFmtId="192" fontId="4" fillId="0" borderId="52" xfId="0" applyFont="1" applyBorder="1" applyAlignment="1" applyProtection="1">
      <alignment/>
      <protection/>
    </xf>
    <xf numFmtId="192" fontId="4" fillId="0" borderId="68" xfId="0" applyFont="1" applyBorder="1" applyAlignment="1" applyProtection="1">
      <alignment/>
      <protection/>
    </xf>
    <xf numFmtId="192" fontId="4" fillId="0" borderId="69" xfId="0" applyFont="1" applyBorder="1" applyAlignment="1" applyProtection="1">
      <alignment/>
      <protection/>
    </xf>
    <xf numFmtId="192" fontId="4" fillId="0" borderId="70" xfId="0" applyFont="1" applyBorder="1" applyAlignment="1" applyProtection="1">
      <alignment/>
      <protection/>
    </xf>
    <xf numFmtId="192" fontId="4" fillId="0" borderId="53" xfId="0" applyFont="1" applyBorder="1" applyAlignment="1" applyProtection="1" quotePrefix="1">
      <alignment horizontal="left"/>
      <protection/>
    </xf>
    <xf numFmtId="192" fontId="4" fillId="0" borderId="31" xfId="0" applyFont="1" applyBorder="1" applyAlignment="1" applyProtection="1" quotePrefix="1">
      <alignment horizontal="center"/>
      <protection/>
    </xf>
    <xf numFmtId="192" fontId="4" fillId="0" borderId="31" xfId="0" applyFont="1" applyBorder="1" applyAlignment="1" applyProtection="1">
      <alignment horizontal="center"/>
      <protection/>
    </xf>
    <xf numFmtId="192" fontId="4" fillId="0" borderId="53" xfId="0" applyFont="1" applyBorder="1" applyAlignment="1" applyProtection="1">
      <alignment/>
      <protection/>
    </xf>
    <xf numFmtId="192" fontId="4" fillId="0" borderId="31" xfId="0" applyFont="1" applyBorder="1" applyAlignment="1" applyProtection="1">
      <alignment/>
      <protection/>
    </xf>
    <xf numFmtId="192" fontId="12" fillId="0" borderId="53" xfId="0" applyFont="1" applyFill="1" applyBorder="1" applyAlignment="1" applyProtection="1">
      <alignment/>
      <protection/>
    </xf>
    <xf numFmtId="192" fontId="12" fillId="0" borderId="53" xfId="0" applyFont="1" applyFill="1" applyBorder="1" applyAlignment="1" applyProtection="1" quotePrefix="1">
      <alignment/>
      <protection/>
    </xf>
    <xf numFmtId="192" fontId="12" fillId="0" borderId="53" xfId="0" applyFont="1" applyFill="1" applyBorder="1" applyAlignment="1" applyProtection="1" quotePrefix="1">
      <alignment horizontal="left"/>
      <protection/>
    </xf>
    <xf numFmtId="192" fontId="12" fillId="0" borderId="54" xfId="0" applyFont="1" applyFill="1" applyBorder="1" applyAlignment="1" applyProtection="1">
      <alignment horizontal="left"/>
      <protection/>
    </xf>
    <xf numFmtId="192" fontId="12" fillId="0" borderId="33" xfId="0" applyFont="1" applyFill="1" applyBorder="1" applyAlignment="1" applyProtection="1">
      <alignment horizontal="left"/>
      <protection/>
    </xf>
    <xf numFmtId="192" fontId="24" fillId="35" borderId="71" xfId="0" applyNumberFormat="1" applyFont="1" applyFill="1" applyBorder="1" applyAlignment="1" applyProtection="1">
      <alignment/>
      <protection/>
    </xf>
    <xf numFmtId="192" fontId="4" fillId="35" borderId="68" xfId="0" applyNumberFormat="1" applyFont="1" applyFill="1" applyBorder="1" applyAlignment="1" applyProtection="1">
      <alignment/>
      <protection/>
    </xf>
    <xf numFmtId="192" fontId="4" fillId="35" borderId="68" xfId="0" applyFont="1" applyFill="1" applyBorder="1" applyAlignment="1" applyProtection="1">
      <alignment horizontal="center"/>
      <protection/>
    </xf>
    <xf numFmtId="192" fontId="4" fillId="35" borderId="69" xfId="0" applyFont="1" applyFill="1" applyBorder="1" applyAlignment="1" applyProtection="1">
      <alignment/>
      <protection/>
    </xf>
    <xf numFmtId="192" fontId="24" fillId="35" borderId="42" xfId="0" applyNumberFormat="1" applyFont="1" applyFill="1" applyBorder="1" applyAlignment="1" applyProtection="1">
      <alignment/>
      <protection/>
    </xf>
    <xf numFmtId="192" fontId="4" fillId="35" borderId="43" xfId="0" applyFont="1" applyFill="1" applyBorder="1" applyAlignment="1" applyProtection="1">
      <alignment/>
      <protection/>
    </xf>
    <xf numFmtId="192" fontId="13" fillId="0" borderId="33" xfId="0" applyNumberFormat="1" applyFont="1" applyBorder="1" applyAlignment="1" applyProtection="1">
      <alignment/>
      <protection/>
    </xf>
    <xf numFmtId="192" fontId="4" fillId="0" borderId="33" xfId="0" applyNumberFormat="1" applyFont="1" applyBorder="1" applyAlignment="1" applyProtection="1" quotePrefix="1">
      <alignment horizontal="center"/>
      <protection/>
    </xf>
    <xf numFmtId="192" fontId="1" fillId="35" borderId="52" xfId="0" applyFont="1" applyFill="1" applyBorder="1" applyAlignment="1" applyProtection="1">
      <alignment/>
      <protection/>
    </xf>
    <xf numFmtId="192" fontId="12" fillId="35" borderId="52" xfId="0" applyNumberFormat="1" applyFont="1" applyFill="1" applyBorder="1" applyAlignment="1" applyProtection="1">
      <alignment horizontal="center"/>
      <protection/>
    </xf>
    <xf numFmtId="192" fontId="4" fillId="35" borderId="28" xfId="0" applyFont="1" applyFill="1" applyBorder="1" applyAlignment="1" applyProtection="1" quotePrefix="1">
      <alignment horizontal="center"/>
      <protection/>
    </xf>
    <xf numFmtId="192" fontId="4" fillId="0" borderId="33" xfId="0" applyFont="1" applyBorder="1" applyAlignment="1" applyProtection="1">
      <alignment horizontal="center"/>
      <protection/>
    </xf>
    <xf numFmtId="192" fontId="4" fillId="0" borderId="72" xfId="0" applyFont="1" applyBorder="1" applyAlignment="1" applyProtection="1">
      <alignment/>
      <protection/>
    </xf>
    <xf numFmtId="192" fontId="4" fillId="35" borderId="52" xfId="0" applyNumberFormat="1" applyFont="1" applyFill="1" applyBorder="1" applyAlignment="1" applyProtection="1">
      <alignment/>
      <protection/>
    </xf>
    <xf numFmtId="192" fontId="12" fillId="35" borderId="29" xfId="0" applyNumberFormat="1" applyFont="1" applyFill="1" applyBorder="1" applyAlignment="1" applyProtection="1" quotePrefix="1">
      <alignment horizontal="center"/>
      <protection/>
    </xf>
    <xf numFmtId="192" fontId="4" fillId="35" borderId="39" xfId="0" applyFont="1" applyFill="1" applyBorder="1" applyAlignment="1" applyProtection="1">
      <alignment/>
      <protection/>
    </xf>
    <xf numFmtId="192" fontId="4" fillId="35" borderId="40" xfId="0" applyFont="1" applyFill="1" applyBorder="1" applyAlignment="1" applyProtection="1">
      <alignment/>
      <protection/>
    </xf>
    <xf numFmtId="192" fontId="4" fillId="0" borderId="18" xfId="0" applyFont="1" applyFill="1" applyBorder="1" applyAlignment="1" applyProtection="1">
      <alignment/>
      <protection hidden="1"/>
    </xf>
    <xf numFmtId="192" fontId="4" fillId="0" borderId="11" xfId="0" applyFont="1" applyFill="1" applyBorder="1" applyAlignment="1" applyProtection="1">
      <alignment/>
      <protection hidden="1"/>
    </xf>
    <xf numFmtId="192" fontId="4" fillId="0" borderId="14" xfId="0" applyFont="1" applyFill="1" applyBorder="1" applyAlignment="1" applyProtection="1">
      <alignment/>
      <protection hidden="1"/>
    </xf>
    <xf numFmtId="192" fontId="4" fillId="0" borderId="20" xfId="0" applyFont="1" applyFill="1" applyBorder="1" applyAlignment="1" applyProtection="1">
      <alignment/>
      <protection hidden="1"/>
    </xf>
    <xf numFmtId="192" fontId="1" fillId="0" borderId="0" xfId="0" applyFont="1" applyFill="1" applyBorder="1" applyAlignment="1" applyProtection="1">
      <alignment/>
      <protection hidden="1"/>
    </xf>
    <xf numFmtId="199" fontId="4" fillId="0" borderId="22" xfId="0" applyNumberFormat="1" applyFont="1" applyFill="1" applyBorder="1" applyAlignment="1" applyProtection="1">
      <alignment horizontal="center"/>
      <protection hidden="1"/>
    </xf>
    <xf numFmtId="199" fontId="4" fillId="0" borderId="0" xfId="0" applyNumberFormat="1" applyFont="1" applyFill="1" applyBorder="1" applyAlignment="1" applyProtection="1">
      <alignment/>
      <protection hidden="1"/>
    </xf>
    <xf numFmtId="199" fontId="14" fillId="0" borderId="0" xfId="0" applyNumberFormat="1" applyFont="1" applyFill="1" applyBorder="1" applyAlignment="1" applyProtection="1">
      <alignment/>
      <protection hidden="1"/>
    </xf>
    <xf numFmtId="199" fontId="4" fillId="0" borderId="13" xfId="0" applyNumberFormat="1" applyFont="1" applyFill="1" applyBorder="1" applyAlignment="1" applyProtection="1">
      <alignment horizontal="center"/>
      <protection hidden="1"/>
    </xf>
    <xf numFmtId="199" fontId="4" fillId="0" borderId="16" xfId="0" applyNumberFormat="1" applyFont="1" applyFill="1" applyBorder="1" applyAlignment="1" applyProtection="1">
      <alignment horizontal="center"/>
      <protection hidden="1"/>
    </xf>
    <xf numFmtId="199" fontId="4" fillId="0" borderId="24" xfId="0" applyNumberFormat="1" applyFont="1" applyFill="1" applyBorder="1" applyAlignment="1" applyProtection="1">
      <alignment horizontal="center"/>
      <protection hidden="1"/>
    </xf>
    <xf numFmtId="199" fontId="1" fillId="0" borderId="0" xfId="0" applyNumberFormat="1" applyFont="1" applyFill="1" applyBorder="1" applyAlignment="1" applyProtection="1">
      <alignment/>
      <protection hidden="1"/>
    </xf>
    <xf numFmtId="199" fontId="4" fillId="0" borderId="0" xfId="0" applyNumberFormat="1" applyFont="1" applyFill="1" applyBorder="1" applyAlignment="1" applyProtection="1">
      <alignment horizontal="center"/>
      <protection hidden="1"/>
    </xf>
    <xf numFmtId="192" fontId="0" fillId="0" borderId="0" xfId="0" applyFill="1" applyBorder="1" applyAlignment="1">
      <alignment/>
    </xf>
    <xf numFmtId="1" fontId="1" fillId="0" borderId="0" xfId="0" applyNumberFormat="1" applyFont="1" applyBorder="1" applyAlignment="1" applyProtection="1">
      <alignment/>
      <protection hidden="1"/>
    </xf>
    <xf numFmtId="192" fontId="36" fillId="0" borderId="71" xfId="0" applyFont="1" applyBorder="1" applyAlignment="1" applyProtection="1">
      <alignment/>
      <protection hidden="1"/>
    </xf>
    <xf numFmtId="192" fontId="36" fillId="0" borderId="68" xfId="0" applyFont="1" applyBorder="1" applyAlignment="1" applyProtection="1">
      <alignment/>
      <protection hidden="1"/>
    </xf>
    <xf numFmtId="192" fontId="36" fillId="0" borderId="69" xfId="0" applyFont="1" applyBorder="1" applyAlignment="1" applyProtection="1">
      <alignment/>
      <protection hidden="1"/>
    </xf>
    <xf numFmtId="192" fontId="36" fillId="0" borderId="72" xfId="0" applyFont="1" applyBorder="1" applyAlignment="1" applyProtection="1">
      <alignment/>
      <protection hidden="1"/>
    </xf>
    <xf numFmtId="192" fontId="36" fillId="0" borderId="61" xfId="0" applyFont="1" applyBorder="1" applyAlignment="1" applyProtection="1">
      <alignment/>
      <protection hidden="1"/>
    </xf>
    <xf numFmtId="192" fontId="1" fillId="0" borderId="0" xfId="0" applyFont="1" applyBorder="1" applyAlignment="1" applyProtection="1">
      <alignment horizontal="left"/>
      <protection hidden="1"/>
    </xf>
    <xf numFmtId="192" fontId="13" fillId="0" borderId="11" xfId="0" applyFont="1" applyFill="1" applyBorder="1" applyAlignment="1" applyProtection="1">
      <alignment/>
      <protection locked="0"/>
    </xf>
    <xf numFmtId="192" fontId="4" fillId="0" borderId="12" xfId="0" applyFont="1" applyFill="1" applyBorder="1" applyAlignment="1" applyProtection="1">
      <alignment/>
      <protection hidden="1"/>
    </xf>
    <xf numFmtId="204" fontId="3" fillId="0" borderId="0" xfId="68" applyNumberFormat="1" applyFont="1" applyBorder="1" applyAlignment="1" applyProtection="1">
      <alignment/>
      <protection hidden="1"/>
    </xf>
    <xf numFmtId="204" fontId="4" fillId="0" borderId="0" xfId="68" applyNumberFormat="1" applyFont="1" applyAlignment="1" applyProtection="1">
      <alignment/>
      <protection hidden="1"/>
    </xf>
    <xf numFmtId="204" fontId="25" fillId="0" borderId="0" xfId="0" applyNumberFormat="1" applyFont="1" applyAlignment="1" applyProtection="1">
      <alignment/>
      <protection hidden="1"/>
    </xf>
    <xf numFmtId="204" fontId="25" fillId="0" borderId="0" xfId="0" applyNumberFormat="1" applyFont="1" applyBorder="1" applyAlignment="1" applyProtection="1">
      <alignment/>
      <protection hidden="1"/>
    </xf>
    <xf numFmtId="204" fontId="25" fillId="0" borderId="0" xfId="0" applyNumberFormat="1" applyFont="1" applyBorder="1" applyAlignment="1" applyProtection="1">
      <alignment horizontal="center"/>
      <protection hidden="1"/>
    </xf>
    <xf numFmtId="204" fontId="25" fillId="0" borderId="0" xfId="68" applyNumberFormat="1" applyFont="1" applyBorder="1" applyAlignment="1" applyProtection="1">
      <alignment/>
      <protection hidden="1"/>
    </xf>
    <xf numFmtId="204" fontId="25" fillId="0" borderId="0" xfId="68" applyNumberFormat="1" applyFont="1" applyAlignment="1" applyProtection="1">
      <alignment/>
      <protection hidden="1"/>
    </xf>
    <xf numFmtId="192" fontId="4" fillId="35" borderId="18" xfId="0" applyNumberFormat="1" applyFont="1" applyFill="1" applyBorder="1" applyAlignment="1" applyProtection="1">
      <alignment/>
      <protection hidden="1"/>
    </xf>
    <xf numFmtId="192" fontId="1" fillId="35" borderId="11" xfId="0" applyNumberFormat="1" applyFont="1" applyFill="1" applyBorder="1" applyAlignment="1" applyProtection="1">
      <alignment horizontal="centerContinuous"/>
      <protection hidden="1"/>
    </xf>
    <xf numFmtId="190" fontId="1" fillId="35" borderId="21" xfId="62" applyFont="1" applyFill="1" applyBorder="1" applyAlignment="1" applyProtection="1">
      <alignment horizontal="centerContinuous"/>
      <protection hidden="1"/>
    </xf>
    <xf numFmtId="192" fontId="4" fillId="0" borderId="14" xfId="0" applyFont="1" applyBorder="1" applyAlignment="1">
      <alignment horizontal="center"/>
    </xf>
    <xf numFmtId="192" fontId="54" fillId="0" borderId="0" xfId="0" applyFont="1" applyAlignment="1" applyProtection="1">
      <alignment/>
      <protection hidden="1"/>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hidden="1"/>
    </xf>
    <xf numFmtId="192" fontId="53" fillId="0" borderId="0" xfId="0" applyNumberFormat="1" applyFont="1" applyFill="1" applyBorder="1" applyAlignment="1" applyProtection="1">
      <alignment/>
      <protection hidden="1"/>
    </xf>
    <xf numFmtId="192" fontId="53" fillId="0" borderId="0" xfId="0" applyFont="1" applyBorder="1" applyAlignment="1" applyProtection="1">
      <alignment/>
      <protection hidden="1"/>
    </xf>
    <xf numFmtId="0" fontId="4" fillId="0" borderId="0" xfId="0" applyNumberFormat="1" applyFont="1" applyAlignment="1">
      <alignment/>
    </xf>
    <xf numFmtId="192" fontId="20" fillId="0" borderId="16" xfId="0" applyNumberFormat="1" applyFont="1" applyFill="1" applyBorder="1" applyAlignment="1" applyProtection="1">
      <alignment/>
      <protection hidden="1" locked="0"/>
    </xf>
    <xf numFmtId="192" fontId="0" fillId="0" borderId="12" xfId="0" applyBorder="1" applyAlignment="1">
      <alignment/>
    </xf>
    <xf numFmtId="192" fontId="9" fillId="0" borderId="13" xfId="0" applyFont="1" applyBorder="1" applyAlignment="1" applyProtection="1">
      <alignment/>
      <protection/>
    </xf>
    <xf numFmtId="192" fontId="4" fillId="0" borderId="24" xfId="0" applyFont="1" applyBorder="1" applyAlignment="1">
      <alignment/>
    </xf>
    <xf numFmtId="192" fontId="26" fillId="35" borderId="14" xfId="0" applyFont="1" applyFill="1" applyBorder="1" applyAlignment="1">
      <alignment/>
    </xf>
    <xf numFmtId="192" fontId="0" fillId="35" borderId="14" xfId="0" applyFill="1" applyBorder="1" applyAlignment="1">
      <alignment/>
    </xf>
    <xf numFmtId="192" fontId="4" fillId="35" borderId="20" xfId="0" applyNumberFormat="1" applyFont="1" applyFill="1" applyBorder="1" applyAlignment="1" applyProtection="1">
      <alignment horizontal="left"/>
      <protection/>
    </xf>
    <xf numFmtId="192" fontId="23" fillId="0" borderId="0" xfId="0" applyNumberFormat="1" applyFont="1" applyFill="1" applyBorder="1" applyAlignment="1" applyProtection="1">
      <alignment/>
      <protection/>
    </xf>
    <xf numFmtId="192" fontId="12" fillId="35" borderId="21" xfId="0" applyNumberFormat="1" applyFont="1" applyFill="1" applyBorder="1" applyAlignment="1" applyProtection="1" quotePrefix="1">
      <alignment horizontal="center"/>
      <protection/>
    </xf>
    <xf numFmtId="192" fontId="12" fillId="35" borderId="17" xfId="0" applyNumberFormat="1" applyFont="1" applyFill="1" applyBorder="1" applyAlignment="1" applyProtection="1">
      <alignment horizontal="center"/>
      <protection/>
    </xf>
    <xf numFmtId="192" fontId="12" fillId="0" borderId="24" xfId="0" applyNumberFormat="1" applyFont="1" applyFill="1" applyBorder="1" applyAlignment="1" applyProtection="1">
      <alignment/>
      <protection hidden="1"/>
    </xf>
    <xf numFmtId="192" fontId="4" fillId="0" borderId="15" xfId="0" applyNumberFormat="1" applyFont="1" applyFill="1" applyBorder="1" applyAlignment="1" applyProtection="1">
      <alignment/>
      <protection hidden="1"/>
    </xf>
    <xf numFmtId="9" fontId="36" fillId="0" borderId="0" xfId="68" applyFont="1" applyFill="1" applyBorder="1" applyAlignment="1" applyProtection="1">
      <alignment/>
      <protection hidden="1"/>
    </xf>
    <xf numFmtId="192" fontId="36" fillId="0" borderId="25" xfId="0" applyFont="1" applyBorder="1" applyAlignment="1" applyProtection="1">
      <alignment horizontal="center"/>
      <protection hidden="1"/>
    </xf>
    <xf numFmtId="192" fontId="12" fillId="0" borderId="16" xfId="0" applyNumberFormat="1" applyFont="1" applyFill="1" applyBorder="1" applyAlignment="1" applyProtection="1">
      <alignment/>
      <protection hidden="1"/>
    </xf>
    <xf numFmtId="192" fontId="36" fillId="0" borderId="68" xfId="0" applyNumberFormat="1" applyFont="1" applyBorder="1" applyAlignment="1" applyProtection="1">
      <alignment/>
      <protection hidden="1"/>
    </xf>
    <xf numFmtId="192" fontId="38" fillId="0" borderId="25" xfId="0" applyNumberFormat="1" applyFont="1" applyBorder="1" applyAlignment="1" applyProtection="1">
      <alignment horizontal="centerContinuous"/>
      <protection hidden="1"/>
    </xf>
    <xf numFmtId="192" fontId="38" fillId="0" borderId="57" xfId="0" applyNumberFormat="1" applyFont="1" applyBorder="1" applyAlignment="1" applyProtection="1">
      <alignment horizontal="centerContinuous"/>
      <protection hidden="1"/>
    </xf>
    <xf numFmtId="192" fontId="36" fillId="0" borderId="72" xfId="0" applyNumberFormat="1" applyFont="1" applyFill="1" applyBorder="1" applyAlignment="1" applyProtection="1">
      <alignment/>
      <protection hidden="1"/>
    </xf>
    <xf numFmtId="192" fontId="36" fillId="0" borderId="70" xfId="0" applyNumberFormat="1" applyFont="1" applyBorder="1" applyAlignment="1" applyProtection="1">
      <alignment/>
      <protection hidden="1"/>
    </xf>
    <xf numFmtId="192" fontId="36" fillId="0" borderId="61" xfId="0" applyNumberFormat="1" applyFont="1" applyFill="1" applyBorder="1" applyAlignment="1" applyProtection="1">
      <alignment/>
      <protection hidden="1"/>
    </xf>
    <xf numFmtId="192" fontId="36" fillId="0" borderId="62" xfId="0" applyNumberFormat="1" applyFont="1" applyFill="1" applyBorder="1" applyAlignment="1" applyProtection="1">
      <alignment/>
      <protection hidden="1"/>
    </xf>
    <xf numFmtId="192" fontId="36" fillId="0" borderId="73" xfId="0" applyNumberFormat="1" applyFont="1" applyBorder="1" applyAlignment="1" applyProtection="1">
      <alignment/>
      <protection hidden="1"/>
    </xf>
    <xf numFmtId="192" fontId="36" fillId="0" borderId="71" xfId="0" applyNumberFormat="1" applyFont="1" applyFill="1" applyBorder="1" applyAlignment="1" applyProtection="1">
      <alignment/>
      <protection hidden="1"/>
    </xf>
    <xf numFmtId="192" fontId="36" fillId="0" borderId="68" xfId="0" applyNumberFormat="1" applyFont="1" applyFill="1" applyBorder="1" applyAlignment="1" applyProtection="1">
      <alignment/>
      <protection hidden="1"/>
    </xf>
    <xf numFmtId="192" fontId="37" fillId="0" borderId="71" xfId="0" applyNumberFormat="1" applyFont="1" applyFill="1" applyBorder="1" applyAlignment="1" applyProtection="1">
      <alignment/>
      <protection hidden="1"/>
    </xf>
    <xf numFmtId="192" fontId="37" fillId="0" borderId="72" xfId="0" applyNumberFormat="1" applyFont="1" applyFill="1" applyBorder="1" applyAlignment="1" applyProtection="1">
      <alignment/>
      <protection hidden="1"/>
    </xf>
    <xf numFmtId="192" fontId="37" fillId="0" borderId="69" xfId="0" applyNumberFormat="1" applyFont="1" applyBorder="1" applyAlignment="1" applyProtection="1">
      <alignment horizontal="center"/>
      <protection hidden="1"/>
    </xf>
    <xf numFmtId="200" fontId="36" fillId="0" borderId="68" xfId="68" applyNumberFormat="1" applyFont="1" applyFill="1" applyBorder="1" applyAlignment="1" applyProtection="1">
      <alignment/>
      <protection hidden="1"/>
    </xf>
    <xf numFmtId="192" fontId="36" fillId="0" borderId="72" xfId="0" applyNumberFormat="1" applyFont="1" applyFill="1" applyBorder="1" applyAlignment="1" applyProtection="1">
      <alignment horizontal="left"/>
      <protection hidden="1"/>
    </xf>
    <xf numFmtId="192" fontId="36" fillId="0" borderId="62" xfId="0" applyFont="1" applyBorder="1" applyAlignment="1" applyProtection="1">
      <alignment/>
      <protection hidden="1"/>
    </xf>
    <xf numFmtId="192" fontId="37" fillId="0" borderId="56" xfId="0" applyNumberFormat="1" applyFont="1" applyFill="1" applyBorder="1" applyAlignment="1" applyProtection="1">
      <alignment/>
      <protection hidden="1"/>
    </xf>
    <xf numFmtId="192" fontId="37" fillId="0" borderId="25" xfId="0" applyNumberFormat="1" applyFont="1" applyFill="1" applyBorder="1" applyAlignment="1" applyProtection="1">
      <alignment horizontal="center"/>
      <protection hidden="1"/>
    </xf>
    <xf numFmtId="192" fontId="37" fillId="0" borderId="57" xfId="0" applyNumberFormat="1" applyFont="1" applyFill="1" applyBorder="1" applyAlignment="1" applyProtection="1">
      <alignment horizontal="center"/>
      <protection hidden="1"/>
    </xf>
    <xf numFmtId="192" fontId="37" fillId="0" borderId="25" xfId="0" applyFont="1" applyBorder="1" applyAlignment="1" applyProtection="1">
      <alignment/>
      <protection hidden="1"/>
    </xf>
    <xf numFmtId="192" fontId="37" fillId="0" borderId="61" xfId="0" applyNumberFormat="1" applyFont="1" applyFill="1" applyBorder="1" applyAlignment="1" applyProtection="1">
      <alignment/>
      <protection hidden="1"/>
    </xf>
    <xf numFmtId="200" fontId="37" fillId="0" borderId="25" xfId="68" applyNumberFormat="1" applyFont="1" applyFill="1" applyBorder="1" applyAlignment="1" applyProtection="1">
      <alignment/>
      <protection hidden="1"/>
    </xf>
    <xf numFmtId="192" fontId="37" fillId="0" borderId="56" xfId="0" applyFont="1" applyFill="1" applyBorder="1" applyAlignment="1" applyProtection="1">
      <alignment/>
      <protection hidden="1"/>
    </xf>
    <xf numFmtId="192" fontId="37" fillId="0" borderId="25" xfId="0" applyNumberFormat="1" applyFont="1" applyFill="1" applyBorder="1" applyAlignment="1" applyProtection="1" quotePrefix="1">
      <alignment horizontal="center"/>
      <protection hidden="1"/>
    </xf>
    <xf numFmtId="197" fontId="37" fillId="0" borderId="57" xfId="0" applyNumberFormat="1" applyFont="1" applyBorder="1" applyAlignment="1" applyProtection="1">
      <alignment/>
      <protection hidden="1"/>
    </xf>
    <xf numFmtId="192" fontId="36" fillId="0" borderId="25" xfId="0" applyNumberFormat="1" applyFont="1" applyFill="1" applyBorder="1" applyAlignment="1" applyProtection="1">
      <alignment/>
      <protection hidden="1"/>
    </xf>
    <xf numFmtId="192" fontId="37" fillId="0" borderId="25" xfId="0" applyNumberFormat="1" applyFont="1" applyBorder="1" applyAlignment="1" applyProtection="1">
      <alignment/>
      <protection hidden="1"/>
    </xf>
    <xf numFmtId="192" fontId="37" fillId="0" borderId="56" xfId="0" applyNumberFormat="1" applyFont="1" applyBorder="1" applyAlignment="1" applyProtection="1">
      <alignment horizontal="centerContinuous"/>
      <protection hidden="1"/>
    </xf>
    <xf numFmtId="192" fontId="37" fillId="0" borderId="25" xfId="0" applyNumberFormat="1" applyFont="1" applyBorder="1" applyAlignment="1" applyProtection="1">
      <alignment horizontal="centerContinuous"/>
      <protection hidden="1"/>
    </xf>
    <xf numFmtId="192" fontId="37" fillId="0" borderId="57" xfId="0" applyNumberFormat="1" applyFont="1" applyBorder="1" applyAlignment="1" applyProtection="1">
      <alignment horizontal="centerContinuous"/>
      <protection hidden="1"/>
    </xf>
    <xf numFmtId="192" fontId="36" fillId="0" borderId="57" xfId="0" applyFont="1" applyBorder="1" applyAlignment="1" applyProtection="1">
      <alignment/>
      <protection hidden="1"/>
    </xf>
    <xf numFmtId="192" fontId="37" fillId="0" borderId="56" xfId="0" applyFont="1" applyBorder="1" applyAlignment="1" applyProtection="1">
      <alignment/>
      <protection hidden="1"/>
    </xf>
    <xf numFmtId="192" fontId="37" fillId="0" borderId="57" xfId="0" applyFont="1" applyBorder="1" applyAlignment="1" applyProtection="1">
      <alignment/>
      <protection hidden="1"/>
    </xf>
    <xf numFmtId="192" fontId="36" fillId="0" borderId="70" xfId="0" applyFont="1" applyBorder="1" applyAlignment="1" applyProtection="1">
      <alignment/>
      <protection hidden="1"/>
    </xf>
    <xf numFmtId="192" fontId="36" fillId="0" borderId="73" xfId="0" applyFont="1" applyBorder="1" applyAlignment="1" applyProtection="1">
      <alignment/>
      <protection hidden="1"/>
    </xf>
    <xf numFmtId="192" fontId="37" fillId="0" borderId="25" xfId="0" applyNumberFormat="1" applyFont="1" applyFill="1" applyBorder="1" applyAlignment="1" applyProtection="1">
      <alignment/>
      <protection hidden="1"/>
    </xf>
    <xf numFmtId="192" fontId="37" fillId="0" borderId="57" xfId="0" applyNumberFormat="1" applyFont="1" applyFill="1" applyBorder="1" applyAlignment="1" applyProtection="1" quotePrefix="1">
      <alignment horizontal="center"/>
      <protection hidden="1"/>
    </xf>
    <xf numFmtId="192" fontId="36" fillId="0" borderId="72" xfId="0" applyNumberFormat="1" applyFont="1" applyFill="1" applyBorder="1" applyAlignment="1" applyProtection="1" quotePrefix="1">
      <alignment horizontal="left"/>
      <protection hidden="1"/>
    </xf>
    <xf numFmtId="192" fontId="36" fillId="0" borderId="70" xfId="0" applyNumberFormat="1" applyFont="1" applyFill="1" applyBorder="1" applyAlignment="1" applyProtection="1">
      <alignment/>
      <protection hidden="1"/>
    </xf>
    <xf numFmtId="192" fontId="36" fillId="0" borderId="72" xfId="0" applyNumberFormat="1" applyFont="1" applyFill="1" applyBorder="1" applyAlignment="1" applyProtection="1">
      <alignment/>
      <protection hidden="1"/>
    </xf>
    <xf numFmtId="192" fontId="38" fillId="0" borderId="72" xfId="0" applyNumberFormat="1" applyFont="1" applyFill="1" applyBorder="1" applyAlignment="1" applyProtection="1">
      <alignment/>
      <protection hidden="1"/>
    </xf>
    <xf numFmtId="192" fontId="36" fillId="0" borderId="62" xfId="0" applyNumberFormat="1" applyFont="1" applyFill="1" applyBorder="1" applyAlignment="1" applyProtection="1">
      <alignment/>
      <protection hidden="1"/>
    </xf>
    <xf numFmtId="192" fontId="37" fillId="0" borderId="71" xfId="0" applyFont="1" applyBorder="1" applyAlignment="1" applyProtection="1">
      <alignment/>
      <protection hidden="1"/>
    </xf>
    <xf numFmtId="9" fontId="36" fillId="0" borderId="70" xfId="68" applyFont="1" applyBorder="1" applyAlignment="1" applyProtection="1">
      <alignment/>
      <protection hidden="1"/>
    </xf>
    <xf numFmtId="192" fontId="36" fillId="0" borderId="68" xfId="0" applyFont="1" applyBorder="1" applyAlignment="1" applyProtection="1">
      <alignment horizontal="center"/>
      <protection hidden="1"/>
    </xf>
    <xf numFmtId="1" fontId="36" fillId="0" borderId="70" xfId="0" applyNumberFormat="1" applyFont="1" applyBorder="1" applyAlignment="1" applyProtection="1">
      <alignment/>
      <protection hidden="1"/>
    </xf>
    <xf numFmtId="192" fontId="36" fillId="0" borderId="62" xfId="0" applyFont="1" applyBorder="1" applyAlignment="1" applyProtection="1">
      <alignment horizontal="center"/>
      <protection hidden="1"/>
    </xf>
    <xf numFmtId="1" fontId="36" fillId="0" borderId="73" xfId="0" applyNumberFormat="1" applyFont="1" applyBorder="1" applyAlignment="1" applyProtection="1">
      <alignment/>
      <protection hidden="1"/>
    </xf>
    <xf numFmtId="192" fontId="37" fillId="0" borderId="25" xfId="0" applyFont="1" applyBorder="1" applyAlignment="1" applyProtection="1">
      <alignment horizontal="center"/>
      <protection hidden="1"/>
    </xf>
    <xf numFmtId="192" fontId="37" fillId="0" borderId="38" xfId="0" applyFont="1" applyBorder="1" applyAlignment="1" applyProtection="1">
      <alignment horizontal="center"/>
      <protection hidden="1"/>
    </xf>
    <xf numFmtId="9" fontId="36" fillId="0" borderId="74" xfId="68" applyFont="1" applyBorder="1" applyAlignment="1" applyProtection="1">
      <alignment/>
      <protection hidden="1"/>
    </xf>
    <xf numFmtId="192" fontId="36" fillId="0" borderId="74" xfId="0" applyFont="1" applyBorder="1" applyAlignment="1" applyProtection="1">
      <alignment/>
      <protection hidden="1"/>
    </xf>
    <xf numFmtId="192" fontId="36" fillId="0" borderId="75" xfId="0" applyFont="1" applyBorder="1" applyAlignment="1" applyProtection="1">
      <alignment/>
      <protection hidden="1"/>
    </xf>
    <xf numFmtId="192" fontId="36" fillId="0" borderId="58" xfId="0" applyFont="1" applyBorder="1" applyAlignment="1" applyProtection="1">
      <alignment/>
      <protection hidden="1"/>
    </xf>
    <xf numFmtId="192" fontId="36" fillId="0" borderId="59" xfId="0" applyFont="1" applyBorder="1" applyAlignment="1" applyProtection="1">
      <alignment/>
      <protection hidden="1"/>
    </xf>
    <xf numFmtId="192" fontId="36" fillId="0" borderId="51" xfId="0" applyFont="1" applyBorder="1" applyAlignment="1" applyProtection="1">
      <alignment/>
      <protection hidden="1"/>
    </xf>
    <xf numFmtId="192" fontId="36" fillId="0" borderId="67" xfId="0" applyFont="1" applyBorder="1" applyAlignment="1" applyProtection="1">
      <alignment/>
      <protection hidden="1"/>
    </xf>
    <xf numFmtId="197" fontId="36" fillId="0" borderId="70" xfId="0" applyNumberFormat="1" applyFont="1" applyBorder="1" applyAlignment="1" applyProtection="1">
      <alignment/>
      <protection hidden="1"/>
    </xf>
    <xf numFmtId="192" fontId="40" fillId="0" borderId="61" xfId="0" applyFont="1" applyBorder="1" applyAlignment="1" applyProtection="1">
      <alignment/>
      <protection hidden="1"/>
    </xf>
    <xf numFmtId="192" fontId="40" fillId="0" borderId="56" xfId="0" applyFont="1" applyBorder="1" applyAlignment="1" applyProtection="1">
      <alignment/>
      <protection hidden="1"/>
    </xf>
    <xf numFmtId="10" fontId="36" fillId="0" borderId="69" xfId="68" applyNumberFormat="1" applyFont="1" applyBorder="1" applyAlignment="1" applyProtection="1">
      <alignment/>
      <protection hidden="1"/>
    </xf>
    <xf numFmtId="10" fontId="36" fillId="0" borderId="70" xfId="68" applyNumberFormat="1" applyFont="1" applyBorder="1" applyAlignment="1" applyProtection="1">
      <alignment/>
      <protection hidden="1"/>
    </xf>
    <xf numFmtId="198" fontId="36" fillId="0" borderId="70" xfId="0" applyNumberFormat="1" applyFont="1" applyBorder="1" applyAlignment="1" applyProtection="1">
      <alignment/>
      <protection hidden="1"/>
    </xf>
    <xf numFmtId="192" fontId="37" fillId="0" borderId="70" xfId="0" applyFont="1" applyBorder="1" applyAlignment="1" applyProtection="1">
      <alignment/>
      <protection hidden="1"/>
    </xf>
    <xf numFmtId="0" fontId="4" fillId="0" borderId="0" xfId="0" applyNumberFormat="1" applyFont="1" applyBorder="1" applyAlignment="1">
      <alignment/>
    </xf>
    <xf numFmtId="0" fontId="4" fillId="0" borderId="0" xfId="0" applyNumberFormat="1" applyFont="1" applyBorder="1" applyAlignment="1" applyProtection="1">
      <alignment/>
      <protection hidden="1"/>
    </xf>
    <xf numFmtId="0" fontId="4" fillId="0" borderId="0" xfId="0" applyNumberFormat="1" applyFont="1" applyAlignment="1" applyProtection="1">
      <alignment/>
      <protection locked="0"/>
    </xf>
    <xf numFmtId="0" fontId="4" fillId="0" borderId="0" xfId="0" applyNumberFormat="1" applyFont="1" applyBorder="1" applyAlignment="1" applyProtection="1">
      <alignment/>
      <protection locked="0"/>
    </xf>
    <xf numFmtId="0" fontId="4" fillId="0" borderId="0" xfId="0" applyNumberFormat="1" applyFont="1" applyFill="1" applyBorder="1" applyAlignment="1" applyProtection="1">
      <alignment/>
      <protection locked="0"/>
    </xf>
    <xf numFmtId="0" fontId="4" fillId="0" borderId="14" xfId="0" applyNumberFormat="1" applyFont="1" applyFill="1" applyBorder="1" applyAlignment="1" applyProtection="1">
      <alignment/>
      <protection locked="0"/>
    </xf>
    <xf numFmtId="0" fontId="4" fillId="0" borderId="0" xfId="0" applyNumberFormat="1" applyFont="1" applyAlignment="1" applyProtection="1">
      <alignment horizontal="left"/>
      <protection locked="0"/>
    </xf>
    <xf numFmtId="192" fontId="4" fillId="0" borderId="0" xfId="0" applyNumberFormat="1" applyFont="1" applyFill="1" applyBorder="1" applyAlignment="1" applyProtection="1">
      <alignment/>
      <protection/>
    </xf>
    <xf numFmtId="192" fontId="37" fillId="0" borderId="25" xfId="0" applyNumberFormat="1" applyFont="1" applyFill="1" applyBorder="1" applyAlignment="1" applyProtection="1">
      <alignment/>
      <protection hidden="1"/>
    </xf>
    <xf numFmtId="192" fontId="37" fillId="0" borderId="57" xfId="0" applyNumberFormat="1" applyFont="1" applyFill="1" applyBorder="1" applyAlignment="1" applyProtection="1">
      <alignment/>
      <protection hidden="1"/>
    </xf>
    <xf numFmtId="192" fontId="36" fillId="0" borderId="70" xfId="0" applyNumberFormat="1" applyFont="1" applyFill="1" applyBorder="1" applyAlignment="1" applyProtection="1">
      <alignment/>
      <protection hidden="1"/>
    </xf>
    <xf numFmtId="192" fontId="36" fillId="0" borderId="0" xfId="0" applyNumberFormat="1" applyFont="1" applyBorder="1" applyAlignment="1" applyProtection="1">
      <alignment horizontal="left"/>
      <protection hidden="1"/>
    </xf>
    <xf numFmtId="192" fontId="36" fillId="0" borderId="70" xfId="0" applyNumberFormat="1" applyFont="1" applyBorder="1" applyAlignment="1" applyProtection="1">
      <alignment horizontal="center"/>
      <protection hidden="1"/>
    </xf>
    <xf numFmtId="197" fontId="36" fillId="0" borderId="44" xfId="0" applyNumberFormat="1" applyFont="1" applyFill="1" applyBorder="1" applyAlignment="1" applyProtection="1">
      <alignment/>
      <protection hidden="1"/>
    </xf>
    <xf numFmtId="197" fontId="36" fillId="0" borderId="45" xfId="0" applyNumberFormat="1" applyFont="1" applyFill="1" applyBorder="1" applyAlignment="1" applyProtection="1">
      <alignment/>
      <protection hidden="1"/>
    </xf>
    <xf numFmtId="197" fontId="36" fillId="0" borderId="46" xfId="0" applyNumberFormat="1" applyFont="1" applyFill="1" applyBorder="1" applyAlignment="1" applyProtection="1">
      <alignment/>
      <protection hidden="1"/>
    </xf>
    <xf numFmtId="192" fontId="36" fillId="0" borderId="68" xfId="0" applyNumberFormat="1" applyFont="1" applyFill="1" applyBorder="1" applyAlignment="1" applyProtection="1">
      <alignment horizontal="center"/>
      <protection hidden="1"/>
    </xf>
    <xf numFmtId="192" fontId="36" fillId="0" borderId="69" xfId="0" applyNumberFormat="1" applyFont="1" applyFill="1" applyBorder="1" applyAlignment="1" applyProtection="1">
      <alignment horizontal="center"/>
      <protection hidden="1"/>
    </xf>
    <xf numFmtId="192" fontId="36" fillId="0" borderId="58" xfId="0" applyNumberFormat="1" applyFont="1" applyFill="1" applyBorder="1" applyAlignment="1" applyProtection="1">
      <alignment/>
      <protection hidden="1"/>
    </xf>
    <xf numFmtId="192" fontId="36" fillId="0" borderId="51" xfId="0" applyNumberFormat="1" applyFont="1" applyFill="1" applyBorder="1" applyAlignment="1" applyProtection="1">
      <alignment/>
      <protection hidden="1"/>
    </xf>
    <xf numFmtId="192" fontId="36" fillId="0" borderId="67" xfId="0" applyNumberFormat="1" applyFont="1" applyFill="1" applyBorder="1" applyAlignment="1" applyProtection="1">
      <alignment/>
      <protection hidden="1"/>
    </xf>
    <xf numFmtId="9" fontId="36" fillId="0" borderId="59" xfId="68" applyFont="1" applyFill="1" applyBorder="1" applyAlignment="1" applyProtection="1">
      <alignment/>
      <protection hidden="1"/>
    </xf>
    <xf numFmtId="192" fontId="36" fillId="0" borderId="42" xfId="0" applyNumberFormat="1" applyFont="1" applyFill="1" applyBorder="1" applyAlignment="1" applyProtection="1">
      <alignment/>
      <protection hidden="1"/>
    </xf>
    <xf numFmtId="192" fontId="36" fillId="0" borderId="43" xfId="0" applyNumberFormat="1" applyFont="1" applyFill="1" applyBorder="1" applyAlignment="1" applyProtection="1">
      <alignment/>
      <protection hidden="1"/>
    </xf>
    <xf numFmtId="9" fontId="36" fillId="0" borderId="73" xfId="68" applyFont="1" applyFill="1" applyBorder="1" applyAlignment="1" applyProtection="1">
      <alignment/>
      <protection hidden="1"/>
    </xf>
    <xf numFmtId="197" fontId="36" fillId="0" borderId="56" xfId="0" applyNumberFormat="1" applyFont="1" applyFill="1" applyBorder="1" applyAlignment="1" applyProtection="1">
      <alignment/>
      <protection hidden="1"/>
    </xf>
    <xf numFmtId="197" fontId="36" fillId="0" borderId="25" xfId="0" applyNumberFormat="1" applyFont="1" applyFill="1" applyBorder="1" applyAlignment="1" applyProtection="1">
      <alignment/>
      <protection hidden="1"/>
    </xf>
    <xf numFmtId="197" fontId="36" fillId="0" borderId="57" xfId="0" applyNumberFormat="1" applyFont="1" applyFill="1" applyBorder="1" applyAlignment="1" applyProtection="1">
      <alignment/>
      <protection hidden="1"/>
    </xf>
    <xf numFmtId="192" fontId="36" fillId="0" borderId="59" xfId="0" applyNumberFormat="1" applyFont="1" applyFill="1" applyBorder="1" applyAlignment="1" applyProtection="1">
      <alignment/>
      <protection hidden="1"/>
    </xf>
    <xf numFmtId="192" fontId="36" fillId="0" borderId="73" xfId="0" applyNumberFormat="1" applyFont="1" applyFill="1" applyBorder="1" applyAlignment="1" applyProtection="1">
      <alignment/>
      <protection hidden="1"/>
    </xf>
    <xf numFmtId="0" fontId="4" fillId="0" borderId="0" xfId="0" applyNumberFormat="1" applyFont="1" applyAlignment="1" applyProtection="1">
      <alignment/>
      <protection/>
    </xf>
    <xf numFmtId="0" fontId="4" fillId="0" borderId="0" xfId="0" applyNumberFormat="1" applyFont="1" applyBorder="1" applyAlignment="1" applyProtection="1">
      <alignment/>
      <protection/>
    </xf>
    <xf numFmtId="0" fontId="4" fillId="0" borderId="0" xfId="0" applyNumberFormat="1" applyFont="1" applyFill="1" applyBorder="1" applyAlignment="1" applyProtection="1">
      <alignment/>
      <protection/>
    </xf>
    <xf numFmtId="192" fontId="36" fillId="0" borderId="70" xfId="0" applyNumberFormat="1" applyFont="1" applyBorder="1" applyAlignment="1" applyProtection="1">
      <alignment horizontal="right"/>
      <protection hidden="1"/>
    </xf>
    <xf numFmtId="197" fontId="36" fillId="0" borderId="21" xfId="0" applyNumberFormat="1" applyFont="1" applyFill="1" applyBorder="1" applyAlignment="1" applyProtection="1">
      <alignment horizontal="center"/>
      <protection hidden="1"/>
    </xf>
    <xf numFmtId="192" fontId="36" fillId="0" borderId="48" xfId="0" applyNumberFormat="1" applyFont="1" applyFill="1" applyBorder="1" applyAlignment="1" applyProtection="1">
      <alignment/>
      <protection hidden="1"/>
    </xf>
    <xf numFmtId="1" fontId="36" fillId="0" borderId="55" xfId="0" applyNumberFormat="1" applyFont="1" applyFill="1" applyBorder="1" applyAlignment="1" applyProtection="1">
      <alignment/>
      <protection hidden="1"/>
    </xf>
    <xf numFmtId="192" fontId="36" fillId="0" borderId="30" xfId="0" applyNumberFormat="1" applyFont="1" applyFill="1" applyBorder="1" applyAlignment="1" applyProtection="1">
      <alignment/>
      <protection hidden="1"/>
    </xf>
    <xf numFmtId="1" fontId="36" fillId="0" borderId="76" xfId="0" applyNumberFormat="1" applyFont="1" applyFill="1" applyBorder="1" applyAlignment="1" applyProtection="1">
      <alignment/>
      <protection hidden="1"/>
    </xf>
    <xf numFmtId="1" fontId="36" fillId="0" borderId="76" xfId="68" applyNumberFormat="1" applyFont="1" applyFill="1" applyBorder="1" applyAlignment="1" applyProtection="1">
      <alignment/>
      <protection hidden="1"/>
    </xf>
    <xf numFmtId="192" fontId="36" fillId="0" borderId="55" xfId="0" applyNumberFormat="1" applyFont="1" applyFill="1" applyBorder="1" applyAlignment="1" applyProtection="1">
      <alignment/>
      <protection hidden="1"/>
    </xf>
    <xf numFmtId="192" fontId="36" fillId="0" borderId="76" xfId="0" applyNumberFormat="1" applyFont="1" applyFill="1" applyBorder="1" applyAlignment="1" applyProtection="1">
      <alignment/>
      <protection hidden="1"/>
    </xf>
    <xf numFmtId="192" fontId="37" fillId="0" borderId="50" xfId="0" applyNumberFormat="1" applyFont="1" applyFill="1" applyBorder="1" applyAlignment="1" applyProtection="1">
      <alignment/>
      <protection hidden="1"/>
    </xf>
    <xf numFmtId="192" fontId="37" fillId="0" borderId="24" xfId="0" applyNumberFormat="1" applyFont="1" applyFill="1" applyBorder="1" applyAlignment="1" applyProtection="1">
      <alignment/>
      <protection hidden="1"/>
    </xf>
    <xf numFmtId="192" fontId="37" fillId="0" borderId="60" xfId="0" applyNumberFormat="1" applyFont="1" applyFill="1" applyBorder="1" applyAlignment="1" applyProtection="1">
      <alignment/>
      <protection hidden="1"/>
    </xf>
    <xf numFmtId="192" fontId="36" fillId="0" borderId="71" xfId="0" applyNumberFormat="1" applyFont="1" applyFill="1" applyBorder="1" applyAlignment="1" applyProtection="1">
      <alignment/>
      <protection hidden="1"/>
    </xf>
    <xf numFmtId="192" fontId="36" fillId="0" borderId="77" xfId="0" applyNumberFormat="1" applyFont="1" applyFill="1" applyBorder="1" applyAlignment="1" applyProtection="1">
      <alignment/>
      <protection hidden="1"/>
    </xf>
    <xf numFmtId="192" fontId="36" fillId="0" borderId="68" xfId="0" applyNumberFormat="1" applyFont="1" applyFill="1" applyBorder="1" applyAlignment="1" applyProtection="1">
      <alignment/>
      <protection hidden="1"/>
    </xf>
    <xf numFmtId="192" fontId="36" fillId="0" borderId="69" xfId="0" applyNumberFormat="1" applyFont="1" applyBorder="1" applyAlignment="1" applyProtection="1">
      <alignment/>
      <protection hidden="1"/>
    </xf>
    <xf numFmtId="192" fontId="36" fillId="0" borderId="32" xfId="0" applyFont="1" applyBorder="1" applyAlignment="1" applyProtection="1">
      <alignment/>
      <protection hidden="1"/>
    </xf>
    <xf numFmtId="192" fontId="36" fillId="0" borderId="62" xfId="0" applyNumberFormat="1" applyFont="1" applyBorder="1" applyAlignment="1" applyProtection="1">
      <alignment/>
      <protection hidden="1"/>
    </xf>
    <xf numFmtId="192" fontId="36" fillId="0" borderId="78" xfId="0" applyNumberFormat="1" applyFont="1" applyFill="1" applyBorder="1" applyAlignment="1" applyProtection="1">
      <alignment/>
      <protection hidden="1"/>
    </xf>
    <xf numFmtId="192" fontId="36" fillId="0" borderId="69" xfId="0" applyNumberFormat="1" applyFont="1" applyFill="1" applyBorder="1" applyAlignment="1" applyProtection="1">
      <alignment/>
      <protection hidden="1"/>
    </xf>
    <xf numFmtId="192" fontId="36" fillId="0" borderId="73" xfId="0" applyNumberFormat="1" applyFont="1" applyFill="1" applyBorder="1" applyAlignment="1" applyProtection="1">
      <alignment/>
      <protection hidden="1"/>
    </xf>
    <xf numFmtId="192" fontId="36" fillId="0" borderId="56" xfId="0" applyNumberFormat="1" applyFont="1" applyFill="1" applyBorder="1" applyAlignment="1" applyProtection="1">
      <alignment/>
      <protection hidden="1"/>
    </xf>
    <xf numFmtId="192" fontId="36" fillId="0" borderId="63" xfId="0" applyNumberFormat="1" applyFont="1" applyFill="1" applyBorder="1" applyAlignment="1" applyProtection="1">
      <alignment/>
      <protection hidden="1"/>
    </xf>
    <xf numFmtId="192" fontId="37" fillId="0" borderId="39" xfId="0" applyNumberFormat="1" applyFont="1" applyFill="1" applyBorder="1" applyAlignment="1" applyProtection="1">
      <alignment horizontal="centerContinuous"/>
      <protection hidden="1"/>
    </xf>
    <xf numFmtId="192" fontId="37" fillId="0" borderId="29" xfId="0" applyNumberFormat="1" applyFont="1" applyFill="1" applyBorder="1" applyAlignment="1" applyProtection="1">
      <alignment horizontal="centerContinuous"/>
      <protection hidden="1"/>
    </xf>
    <xf numFmtId="192" fontId="37" fillId="0" borderId="79" xfId="0" applyNumberFormat="1" applyFont="1" applyFill="1" applyBorder="1" applyAlignment="1" applyProtection="1">
      <alignment horizontal="center"/>
      <protection hidden="1"/>
    </xf>
    <xf numFmtId="192" fontId="37" fillId="0" borderId="71" xfId="0" applyNumberFormat="1" applyFont="1" applyFill="1" applyBorder="1" applyAlignment="1" applyProtection="1">
      <alignment horizontal="center"/>
      <protection hidden="1"/>
    </xf>
    <xf numFmtId="192" fontId="37" fillId="0" borderId="77" xfId="0" applyNumberFormat="1" applyFont="1" applyFill="1" applyBorder="1" applyAlignment="1" applyProtection="1">
      <alignment horizontal="center"/>
      <protection hidden="1"/>
    </xf>
    <xf numFmtId="192" fontId="37" fillId="0" borderId="69" xfId="0" applyNumberFormat="1" applyFont="1" applyFill="1" applyBorder="1" applyAlignment="1" applyProtection="1" quotePrefix="1">
      <alignment horizontal="center"/>
      <protection hidden="1"/>
    </xf>
    <xf numFmtId="192" fontId="37" fillId="0" borderId="68" xfId="0" applyNumberFormat="1" applyFont="1" applyFill="1" applyBorder="1" applyAlignment="1" applyProtection="1">
      <alignment horizontal="center"/>
      <protection hidden="1"/>
    </xf>
    <xf numFmtId="192" fontId="37" fillId="0" borderId="61" xfId="0" applyNumberFormat="1" applyFont="1" applyFill="1" applyBorder="1" applyAlignment="1" applyProtection="1">
      <alignment horizontal="center"/>
      <protection hidden="1"/>
    </xf>
    <xf numFmtId="192" fontId="37" fillId="0" borderId="78" xfId="0" applyNumberFormat="1" applyFont="1" applyFill="1" applyBorder="1" applyAlignment="1" applyProtection="1">
      <alignment horizontal="center"/>
      <protection hidden="1"/>
    </xf>
    <xf numFmtId="192" fontId="37" fillId="0" borderId="73" xfId="0" applyNumberFormat="1" applyFont="1" applyBorder="1" applyAlignment="1" applyProtection="1">
      <alignment horizontal="center"/>
      <protection hidden="1"/>
    </xf>
    <xf numFmtId="192" fontId="37" fillId="0" borderId="66" xfId="0" applyNumberFormat="1" applyFont="1" applyFill="1" applyBorder="1" applyAlignment="1" applyProtection="1">
      <alignment horizontal="center"/>
      <protection hidden="1"/>
    </xf>
    <xf numFmtId="192" fontId="36" fillId="0" borderId="80" xfId="0" applyNumberFormat="1" applyFont="1" applyFill="1" applyBorder="1" applyAlignment="1" applyProtection="1">
      <alignment/>
      <protection hidden="1"/>
    </xf>
    <xf numFmtId="192" fontId="36" fillId="0" borderId="76" xfId="0" applyNumberFormat="1" applyFont="1" applyFill="1" applyBorder="1" applyAlignment="1" applyProtection="1">
      <alignment/>
      <protection hidden="1"/>
    </xf>
    <xf numFmtId="198" fontId="36" fillId="0" borderId="55" xfId="0" applyNumberFormat="1" applyFont="1" applyFill="1" applyBorder="1" applyAlignment="1" applyProtection="1">
      <alignment/>
      <protection hidden="1"/>
    </xf>
    <xf numFmtId="192" fontId="36" fillId="0" borderId="76" xfId="0" applyNumberFormat="1" applyFont="1" applyBorder="1" applyAlignment="1" applyProtection="1">
      <alignment/>
      <protection hidden="1"/>
    </xf>
    <xf numFmtId="192" fontId="36" fillId="0" borderId="60" xfId="0" applyNumberFormat="1" applyFont="1" applyBorder="1" applyAlignment="1" applyProtection="1">
      <alignment/>
      <protection hidden="1"/>
    </xf>
    <xf numFmtId="192" fontId="36" fillId="0" borderId="55" xfId="0" applyNumberFormat="1" applyFont="1" applyFill="1" applyBorder="1" applyAlignment="1" applyProtection="1">
      <alignment/>
      <protection hidden="1"/>
    </xf>
    <xf numFmtId="192" fontId="36" fillId="0" borderId="76" xfId="0" applyNumberFormat="1" applyFont="1" applyFill="1" applyBorder="1" applyAlignment="1" applyProtection="1">
      <alignment horizontal="center"/>
      <protection hidden="1"/>
    </xf>
    <xf numFmtId="192" fontId="36" fillId="0" borderId="51" xfId="0" applyNumberFormat="1" applyFont="1" applyFill="1" applyBorder="1" applyAlignment="1" applyProtection="1">
      <alignment/>
      <protection hidden="1"/>
    </xf>
    <xf numFmtId="192" fontId="36" fillId="0" borderId="61" xfId="0" applyNumberFormat="1" applyFont="1" applyFill="1" applyBorder="1" applyAlignment="1" applyProtection="1" quotePrefix="1">
      <alignment horizontal="left"/>
      <protection hidden="1"/>
    </xf>
    <xf numFmtId="192" fontId="36" fillId="0" borderId="79" xfId="0" applyNumberFormat="1" applyFont="1" applyFill="1" applyBorder="1" applyAlignment="1" applyProtection="1">
      <alignment/>
      <protection hidden="1"/>
    </xf>
    <xf numFmtId="192" fontId="37" fillId="0" borderId="39" xfId="0" applyNumberFormat="1" applyFont="1" applyFill="1" applyBorder="1" applyAlignment="1" applyProtection="1" quotePrefix="1">
      <alignment horizontal="centerContinuous"/>
      <protection hidden="1"/>
    </xf>
    <xf numFmtId="192" fontId="36" fillId="0" borderId="58" xfId="0" applyNumberFormat="1" applyFont="1" applyFill="1" applyBorder="1" applyAlignment="1" applyProtection="1">
      <alignment/>
      <protection hidden="1"/>
    </xf>
    <xf numFmtId="192" fontId="36" fillId="0" borderId="60" xfId="0" applyNumberFormat="1" applyFont="1" applyFill="1" applyBorder="1" applyAlignment="1" applyProtection="1">
      <alignment/>
      <protection hidden="1"/>
    </xf>
    <xf numFmtId="192" fontId="36" fillId="0" borderId="72" xfId="0" applyNumberFormat="1" applyFont="1" applyBorder="1" applyAlignment="1" applyProtection="1">
      <alignment/>
      <protection hidden="1"/>
    </xf>
    <xf numFmtId="197" fontId="36" fillId="0" borderId="76" xfId="0" applyNumberFormat="1" applyFont="1" applyFill="1" applyBorder="1" applyAlignment="1" applyProtection="1">
      <alignment/>
      <protection hidden="1"/>
    </xf>
    <xf numFmtId="192" fontId="36" fillId="0" borderId="55" xfId="0" applyNumberFormat="1" applyFont="1" applyBorder="1" applyAlignment="1" applyProtection="1">
      <alignment/>
      <protection hidden="1"/>
    </xf>
    <xf numFmtId="192" fontId="36" fillId="0" borderId="60" xfId="0" applyNumberFormat="1" applyFont="1" applyFill="1" applyBorder="1" applyAlignment="1" applyProtection="1">
      <alignment horizontal="center"/>
      <protection hidden="1"/>
    </xf>
    <xf numFmtId="192" fontId="37" fillId="0" borderId="0" xfId="0" applyNumberFormat="1" applyFont="1" applyAlignment="1" applyProtection="1">
      <alignment horizontal="left"/>
      <protection hidden="1"/>
    </xf>
    <xf numFmtId="192" fontId="40" fillId="0" borderId="72" xfId="0" applyFont="1" applyBorder="1" applyAlignment="1" applyProtection="1">
      <alignment/>
      <protection hidden="1"/>
    </xf>
    <xf numFmtId="197" fontId="36" fillId="0" borderId="69" xfId="0" applyNumberFormat="1" applyFont="1" applyBorder="1" applyAlignment="1" applyProtection="1">
      <alignment/>
      <protection hidden="1"/>
    </xf>
    <xf numFmtId="199" fontId="36" fillId="0" borderId="70" xfId="0" applyNumberFormat="1" applyFont="1" applyBorder="1" applyAlignment="1" applyProtection="1">
      <alignment/>
      <protection hidden="1"/>
    </xf>
    <xf numFmtId="197" fontId="36" fillId="0" borderId="59" xfId="0" applyNumberFormat="1" applyFont="1" applyBorder="1" applyAlignment="1" applyProtection="1">
      <alignment/>
      <protection hidden="1"/>
    </xf>
    <xf numFmtId="192" fontId="36" fillId="0" borderId="42" xfId="0" applyFont="1" applyBorder="1" applyAlignment="1" applyProtection="1">
      <alignment/>
      <protection hidden="1"/>
    </xf>
    <xf numFmtId="192" fontId="36" fillId="0" borderId="43" xfId="0" applyFont="1" applyBorder="1" applyAlignment="1" applyProtection="1">
      <alignment/>
      <protection hidden="1"/>
    </xf>
    <xf numFmtId="192" fontId="40" fillId="0" borderId="42" xfId="0" applyFont="1" applyBorder="1" applyAlignment="1" applyProtection="1">
      <alignment/>
      <protection hidden="1"/>
    </xf>
    <xf numFmtId="1" fontId="36" fillId="0" borderId="51" xfId="0" applyNumberFormat="1" applyFont="1" applyBorder="1" applyAlignment="1" applyProtection="1">
      <alignment/>
      <protection hidden="1"/>
    </xf>
    <xf numFmtId="1" fontId="36" fillId="0" borderId="67" xfId="0" applyNumberFormat="1" applyFont="1" applyBorder="1" applyAlignment="1" applyProtection="1">
      <alignment/>
      <protection hidden="1"/>
    </xf>
    <xf numFmtId="1" fontId="36" fillId="0" borderId="72" xfId="0" applyNumberFormat="1" applyFont="1" applyBorder="1" applyAlignment="1" applyProtection="1">
      <alignment/>
      <protection hidden="1"/>
    </xf>
    <xf numFmtId="1" fontId="36" fillId="0" borderId="58" xfId="0" applyNumberFormat="1" applyFont="1" applyBorder="1" applyAlignment="1" applyProtection="1">
      <alignment/>
      <protection hidden="1"/>
    </xf>
    <xf numFmtId="1" fontId="36" fillId="0" borderId="61" xfId="0" applyNumberFormat="1" applyFont="1" applyBorder="1" applyAlignment="1" applyProtection="1">
      <alignment/>
      <protection hidden="1"/>
    </xf>
    <xf numFmtId="1" fontId="36" fillId="0" borderId="62" xfId="0" applyNumberFormat="1" applyFont="1" applyBorder="1" applyAlignment="1" applyProtection="1">
      <alignment horizontal="center"/>
      <protection hidden="1"/>
    </xf>
    <xf numFmtId="192" fontId="40" fillId="0" borderId="71" xfId="0" applyFont="1" applyBorder="1" applyAlignment="1" applyProtection="1">
      <alignment/>
      <protection hidden="1"/>
    </xf>
    <xf numFmtId="192" fontId="37" fillId="0" borderId="68" xfId="0" applyFont="1" applyBorder="1" applyAlignment="1" applyProtection="1">
      <alignment/>
      <protection hidden="1"/>
    </xf>
    <xf numFmtId="192" fontId="37" fillId="0" borderId="69" xfId="0" applyFont="1" applyBorder="1" applyAlignment="1" applyProtection="1">
      <alignment/>
      <protection hidden="1"/>
    </xf>
    <xf numFmtId="192" fontId="12" fillId="0" borderId="19" xfId="0" applyFont="1" applyFill="1" applyBorder="1" applyAlignment="1" applyProtection="1">
      <alignment/>
      <protection hidden="1"/>
    </xf>
    <xf numFmtId="192" fontId="36" fillId="0" borderId="39" xfId="0" applyNumberFormat="1" applyFont="1" applyFill="1" applyBorder="1" applyAlignment="1" applyProtection="1">
      <alignment/>
      <protection hidden="1"/>
    </xf>
    <xf numFmtId="192" fontId="36" fillId="0" borderId="40" xfId="0" applyNumberFormat="1" applyFont="1" applyFill="1" applyBorder="1" applyAlignment="1" applyProtection="1">
      <alignment/>
      <protection hidden="1"/>
    </xf>
    <xf numFmtId="192" fontId="36" fillId="0" borderId="40" xfId="0" applyNumberFormat="1" applyFont="1" applyFill="1" applyBorder="1" applyAlignment="1" applyProtection="1" quotePrefix="1">
      <alignment horizontal="center"/>
      <protection hidden="1"/>
    </xf>
    <xf numFmtId="192" fontId="36" fillId="0" borderId="41" xfId="0" applyFont="1" applyBorder="1" applyAlignment="1" applyProtection="1">
      <alignment/>
      <protection hidden="1"/>
    </xf>
    <xf numFmtId="192" fontId="36" fillId="0" borderId="72" xfId="0" applyFont="1" applyBorder="1" applyAlignment="1" applyProtection="1">
      <alignment/>
      <protection hidden="1"/>
    </xf>
    <xf numFmtId="197" fontId="36" fillId="0" borderId="70" xfId="0" applyNumberFormat="1" applyFont="1" applyBorder="1" applyAlignment="1" applyProtection="1">
      <alignment/>
      <protection hidden="1"/>
    </xf>
    <xf numFmtId="192" fontId="36" fillId="0" borderId="70" xfId="0" applyFont="1" applyBorder="1" applyAlignment="1" applyProtection="1">
      <alignment/>
      <protection hidden="1"/>
    </xf>
    <xf numFmtId="9" fontId="36" fillId="0" borderId="70" xfId="68" applyFont="1" applyBorder="1" applyAlignment="1" applyProtection="1">
      <alignment/>
      <protection hidden="1"/>
    </xf>
    <xf numFmtId="0" fontId="4" fillId="0" borderId="0" xfId="0" applyNumberFormat="1" applyFont="1" applyAlignment="1" applyProtection="1">
      <alignment/>
      <protection hidden="1"/>
    </xf>
    <xf numFmtId="0" fontId="4" fillId="0" borderId="71" xfId="0" applyNumberFormat="1" applyFont="1" applyBorder="1" applyAlignment="1" applyProtection="1">
      <alignment/>
      <protection hidden="1"/>
    </xf>
    <xf numFmtId="0" fontId="4" fillId="0" borderId="69" xfId="0" applyNumberFormat="1" applyFont="1" applyBorder="1" applyAlignment="1" applyProtection="1">
      <alignment/>
      <protection hidden="1"/>
    </xf>
    <xf numFmtId="0" fontId="4" fillId="0" borderId="72" xfId="0" applyNumberFormat="1" applyFont="1" applyBorder="1" applyAlignment="1" applyProtection="1">
      <alignment/>
      <protection hidden="1"/>
    </xf>
    <xf numFmtId="0" fontId="4" fillId="0" borderId="70" xfId="0" applyNumberFormat="1" applyFont="1" applyBorder="1" applyAlignment="1" applyProtection="1">
      <alignment/>
      <protection hidden="1"/>
    </xf>
    <xf numFmtId="0" fontId="4" fillId="0" borderId="61" xfId="0" applyNumberFormat="1" applyFont="1" applyBorder="1" applyAlignment="1" applyProtection="1">
      <alignment/>
      <protection hidden="1"/>
    </xf>
    <xf numFmtId="0" fontId="4" fillId="0" borderId="73" xfId="0" applyNumberFormat="1" applyFont="1" applyBorder="1" applyAlignment="1" applyProtection="1">
      <alignment/>
      <protection hidden="1"/>
    </xf>
    <xf numFmtId="0" fontId="4" fillId="0" borderId="0" xfId="0" applyNumberFormat="1" applyFont="1" applyFill="1" applyBorder="1" applyAlignment="1" applyProtection="1">
      <alignment horizontal="centerContinuous"/>
      <protection/>
    </xf>
    <xf numFmtId="0" fontId="4" fillId="0" borderId="0" xfId="0" applyNumberFormat="1" applyFont="1" applyFill="1" applyBorder="1" applyAlignment="1" applyProtection="1">
      <alignment horizontal="center"/>
      <protection/>
    </xf>
    <xf numFmtId="0" fontId="0" fillId="0" borderId="0" xfId="0" applyNumberFormat="1" applyAlignment="1">
      <alignment/>
    </xf>
    <xf numFmtId="0" fontId="14" fillId="0" borderId="11" xfId="0" applyNumberFormat="1" applyFont="1" applyFill="1" applyBorder="1" applyAlignment="1" applyProtection="1">
      <alignment/>
      <protection hidden="1"/>
    </xf>
    <xf numFmtId="0" fontId="14" fillId="0" borderId="0" xfId="0" applyNumberFormat="1" applyFont="1" applyAlignment="1" applyProtection="1">
      <alignment/>
      <protection hidden="1"/>
    </xf>
    <xf numFmtId="0" fontId="14" fillId="0" borderId="0" xfId="0" applyNumberFormat="1" applyFont="1" applyAlignment="1" applyProtection="1">
      <alignment horizontal="left"/>
      <protection hidden="1"/>
    </xf>
    <xf numFmtId="192" fontId="36" fillId="36" borderId="0" xfId="0" applyFont="1" applyFill="1" applyBorder="1" applyAlignment="1">
      <alignment/>
    </xf>
    <xf numFmtId="192" fontId="4" fillId="0" borderId="0" xfId="0" applyFont="1" applyFill="1" applyBorder="1" applyAlignment="1">
      <alignment horizontal="center"/>
    </xf>
    <xf numFmtId="192" fontId="4" fillId="0" borderId="0" xfId="0" applyFont="1" applyFill="1" applyAlignment="1">
      <alignment horizontal="center"/>
    </xf>
    <xf numFmtId="192" fontId="4" fillId="0" borderId="15" xfId="0" applyFont="1" applyFill="1" applyBorder="1" applyAlignment="1" applyProtection="1">
      <alignment/>
      <protection hidden="1"/>
    </xf>
    <xf numFmtId="199" fontId="13" fillId="0" borderId="0" xfId="0" applyNumberFormat="1" applyFont="1" applyFill="1" applyBorder="1" applyAlignment="1" applyProtection="1">
      <alignment horizontal="center"/>
      <protection hidden="1"/>
    </xf>
    <xf numFmtId="2" fontId="4" fillId="0" borderId="15" xfId="0" applyNumberFormat="1" applyFont="1" applyFill="1" applyBorder="1" applyAlignment="1" applyProtection="1">
      <alignment/>
      <protection hidden="1"/>
    </xf>
    <xf numFmtId="192" fontId="4" fillId="0" borderId="0" xfId="0" applyFont="1" applyAlignment="1">
      <alignment/>
    </xf>
    <xf numFmtId="192" fontId="4" fillId="0" borderId="0" xfId="0" applyFont="1" applyAlignment="1" applyProtection="1">
      <alignment/>
      <protection/>
    </xf>
    <xf numFmtId="0" fontId="4" fillId="0" borderId="0" xfId="0" applyNumberFormat="1" applyFont="1" applyAlignment="1">
      <alignment/>
    </xf>
    <xf numFmtId="0" fontId="4" fillId="0" borderId="0" xfId="0" applyNumberFormat="1" applyFont="1" applyAlignment="1" applyProtection="1">
      <alignment/>
      <protection locked="0"/>
    </xf>
    <xf numFmtId="192" fontId="4" fillId="0" borderId="0" xfId="0" applyFont="1" applyBorder="1" applyAlignment="1">
      <alignment/>
    </xf>
    <xf numFmtId="192" fontId="4" fillId="0" borderId="0" xfId="0" applyFont="1" applyAlignment="1" applyProtection="1">
      <alignment/>
      <protection hidden="1"/>
    </xf>
    <xf numFmtId="192" fontId="4" fillId="0" borderId="0" xfId="0" applyFont="1" applyBorder="1" applyAlignment="1" applyProtection="1">
      <alignment/>
      <protection hidden="1"/>
    </xf>
    <xf numFmtId="192" fontId="12" fillId="0" borderId="0" xfId="0" applyFont="1" applyBorder="1" applyAlignment="1" applyProtection="1">
      <alignment/>
      <protection hidden="1"/>
    </xf>
    <xf numFmtId="0" fontId="4" fillId="0" borderId="0" xfId="0" applyNumberFormat="1" applyFont="1" applyAlignment="1" applyProtection="1">
      <alignment/>
      <protection hidden="1"/>
    </xf>
    <xf numFmtId="192" fontId="4" fillId="0" borderId="0" xfId="0" applyFont="1" applyFill="1" applyAlignment="1">
      <alignment/>
    </xf>
    <xf numFmtId="192" fontId="4" fillId="0" borderId="0" xfId="0" applyNumberFormat="1" applyFont="1" applyFill="1" applyBorder="1" applyAlignment="1" applyProtection="1">
      <alignment/>
      <protection/>
    </xf>
    <xf numFmtId="192" fontId="4" fillId="0" borderId="0" xfId="0" applyNumberFormat="1" applyFont="1" applyAlignment="1" applyProtection="1">
      <alignment/>
      <protection/>
    </xf>
    <xf numFmtId="192" fontId="17" fillId="0" borderId="0" xfId="0" applyNumberFormat="1" applyFont="1" applyBorder="1" applyAlignment="1" applyProtection="1">
      <alignment horizontal="center"/>
      <protection hidden="1"/>
    </xf>
    <xf numFmtId="192" fontId="20" fillId="0" borderId="0" xfId="0" applyNumberFormat="1" applyFont="1" applyFill="1" applyBorder="1" applyAlignment="1" applyProtection="1">
      <alignment horizontal="center"/>
      <protection hidden="1"/>
    </xf>
    <xf numFmtId="198" fontId="20" fillId="0" borderId="0" xfId="0" applyNumberFormat="1" applyFont="1" applyFill="1" applyBorder="1" applyAlignment="1" applyProtection="1">
      <alignment horizontal="right"/>
      <protection locked="0"/>
    </xf>
    <xf numFmtId="197" fontId="4" fillId="0" borderId="15" xfId="0" applyNumberFormat="1" applyFont="1" applyBorder="1" applyAlignment="1" applyProtection="1">
      <alignment/>
      <protection hidden="1"/>
    </xf>
    <xf numFmtId="200" fontId="4" fillId="0" borderId="0" xfId="68" applyNumberFormat="1" applyFont="1" applyBorder="1" applyAlignment="1" applyProtection="1">
      <alignment/>
      <protection locked="0"/>
    </xf>
    <xf numFmtId="192" fontId="4" fillId="0" borderId="19" xfId="0" applyFont="1" applyBorder="1" applyAlignment="1">
      <alignment horizontal="center"/>
    </xf>
    <xf numFmtId="2" fontId="13" fillId="0" borderId="0" xfId="0" applyNumberFormat="1" applyFont="1" applyBorder="1" applyAlignment="1" applyProtection="1">
      <alignment horizontal="center"/>
      <protection locked="0"/>
    </xf>
    <xf numFmtId="203" fontId="4" fillId="0" borderId="16" xfId="0" applyNumberFormat="1" applyFont="1" applyBorder="1" applyAlignment="1">
      <alignment horizontal="center"/>
    </xf>
    <xf numFmtId="203" fontId="4" fillId="0" borderId="22" xfId="0" applyNumberFormat="1" applyFont="1" applyBorder="1" applyAlignment="1">
      <alignment horizontal="center"/>
    </xf>
    <xf numFmtId="192" fontId="4" fillId="35" borderId="10" xfId="0" applyFont="1" applyFill="1" applyBorder="1" applyAlignment="1" applyProtection="1">
      <alignment/>
      <protection/>
    </xf>
    <xf numFmtId="192" fontId="4" fillId="35" borderId="19" xfId="0" applyFont="1" applyFill="1" applyBorder="1" applyAlignment="1" applyProtection="1">
      <alignment/>
      <protection/>
    </xf>
    <xf numFmtId="192" fontId="4" fillId="35" borderId="23" xfId="0" applyFont="1" applyFill="1" applyBorder="1" applyAlignment="1" applyProtection="1">
      <alignment/>
      <protection/>
    </xf>
    <xf numFmtId="192" fontId="19" fillId="0" borderId="0" xfId="0" applyFont="1" applyFill="1" applyBorder="1" applyAlignment="1" applyProtection="1">
      <alignment/>
      <protection hidden="1"/>
    </xf>
    <xf numFmtId="201" fontId="4" fillId="0" borderId="0" xfId="0" applyNumberFormat="1" applyFont="1" applyAlignment="1">
      <alignment/>
    </xf>
    <xf numFmtId="192" fontId="4" fillId="0" borderId="0" xfId="0" applyNumberFormat="1" applyFont="1" applyAlignment="1" applyProtection="1">
      <alignment horizontal="right"/>
      <protection/>
    </xf>
    <xf numFmtId="192" fontId="48" fillId="33" borderId="11" xfId="0" applyFont="1" applyFill="1" applyBorder="1" applyAlignment="1">
      <alignment horizontal="right"/>
    </xf>
    <xf numFmtId="192" fontId="48" fillId="33" borderId="21" xfId="0" applyFont="1" applyFill="1" applyBorder="1" applyAlignment="1">
      <alignment horizontal="right"/>
    </xf>
    <xf numFmtId="192" fontId="4" fillId="0" borderId="0" xfId="0" applyFont="1" applyAlignment="1">
      <alignment horizontal="right"/>
    </xf>
    <xf numFmtId="192" fontId="1" fillId="35" borderId="19" xfId="0" applyNumberFormat="1" applyFont="1" applyFill="1" applyBorder="1" applyAlignment="1" applyProtection="1">
      <alignment horizontal="right"/>
      <protection/>
    </xf>
    <xf numFmtId="192" fontId="1" fillId="0" borderId="0" xfId="0" applyFont="1" applyBorder="1" applyAlignment="1">
      <alignment horizontal="right"/>
    </xf>
    <xf numFmtId="192" fontId="4" fillId="35" borderId="11" xfId="0" applyFont="1" applyFill="1" applyBorder="1" applyAlignment="1">
      <alignment horizontal="right"/>
    </xf>
    <xf numFmtId="192" fontId="4" fillId="35" borderId="21" xfId="0" applyFont="1" applyFill="1" applyBorder="1" applyAlignment="1">
      <alignment horizontal="right"/>
    </xf>
    <xf numFmtId="192" fontId="4" fillId="0" borderId="0" xfId="0" applyFont="1" applyBorder="1" applyAlignment="1">
      <alignment horizontal="right"/>
    </xf>
    <xf numFmtId="192" fontId="4" fillId="0" borderId="0" xfId="0" applyFont="1" applyBorder="1" applyAlignment="1" quotePrefix="1">
      <alignment horizontal="right"/>
    </xf>
    <xf numFmtId="192" fontId="4" fillId="0" borderId="0" xfId="0" applyFont="1" applyBorder="1" applyAlignment="1" applyProtection="1">
      <alignment horizontal="right"/>
      <protection/>
    </xf>
    <xf numFmtId="198" fontId="13" fillId="0" borderId="0" xfId="0" applyNumberFormat="1" applyFont="1" applyBorder="1" applyAlignment="1" applyProtection="1">
      <alignment horizontal="right"/>
      <protection locked="0"/>
    </xf>
    <xf numFmtId="192" fontId="4" fillId="0" borderId="21" xfId="0" applyFont="1" applyBorder="1" applyAlignment="1" applyProtection="1">
      <alignment horizontal="right"/>
      <protection locked="0"/>
    </xf>
    <xf numFmtId="192" fontId="4" fillId="0" borderId="21" xfId="0" applyFont="1" applyBorder="1" applyAlignment="1">
      <alignment horizontal="right"/>
    </xf>
    <xf numFmtId="192" fontId="13" fillId="0" borderId="0" xfId="0" applyNumberFormat="1" applyFont="1" applyAlignment="1" applyProtection="1">
      <alignment horizontal="right"/>
      <protection locked="0"/>
    </xf>
    <xf numFmtId="192" fontId="20" fillId="0" borderId="11" xfId="0" applyNumberFormat="1" applyFont="1" applyFill="1" applyBorder="1" applyAlignment="1" applyProtection="1">
      <alignment horizontal="center"/>
      <protection locked="0"/>
    </xf>
    <xf numFmtId="192" fontId="20" fillId="0" borderId="0" xfId="0" applyNumberFormat="1" applyFont="1" applyAlignment="1" applyProtection="1">
      <alignment horizontal="center"/>
      <protection locked="0"/>
    </xf>
    <xf numFmtId="192" fontId="20" fillId="0" borderId="21" xfId="0" applyNumberFormat="1" applyFont="1" applyBorder="1" applyAlignment="1" applyProtection="1">
      <alignment horizontal="center"/>
      <protection locked="0"/>
    </xf>
    <xf numFmtId="192" fontId="4" fillId="0" borderId="0" xfId="0" applyNumberFormat="1" applyFont="1" applyAlignment="1" applyProtection="1">
      <alignment horizontal="center"/>
      <protection hidden="1"/>
    </xf>
    <xf numFmtId="198" fontId="4" fillId="0" borderId="0" xfId="0" applyNumberFormat="1" applyFont="1" applyAlignment="1" applyProtection="1">
      <alignment horizontal="center"/>
      <protection hidden="1"/>
    </xf>
    <xf numFmtId="192" fontId="4" fillId="0" borderId="21" xfId="0" applyNumberFormat="1" applyFont="1" applyBorder="1" applyAlignment="1" applyProtection="1">
      <alignment horizontal="center"/>
      <protection hidden="1"/>
    </xf>
    <xf numFmtId="9" fontId="4" fillId="0" borderId="22" xfId="68" applyFont="1" applyFill="1" applyBorder="1" applyAlignment="1" applyProtection="1">
      <alignment horizontal="center"/>
      <protection hidden="1"/>
    </xf>
    <xf numFmtId="192" fontId="37" fillId="0" borderId="69" xfId="0" applyFont="1" applyBorder="1" applyAlignment="1" applyProtection="1">
      <alignment horizontal="center"/>
      <protection hidden="1"/>
    </xf>
    <xf numFmtId="192" fontId="36" fillId="0" borderId="14" xfId="0" applyFont="1" applyBorder="1" applyAlignment="1" applyProtection="1">
      <alignment horizontal="right"/>
      <protection hidden="1"/>
    </xf>
    <xf numFmtId="192" fontId="37" fillId="0" borderId="57" xfId="0" applyFont="1" applyBorder="1" applyAlignment="1" applyProtection="1">
      <alignment horizontal="center"/>
      <protection hidden="1"/>
    </xf>
    <xf numFmtId="192" fontId="37" fillId="0" borderId="81" xfId="0" applyFont="1" applyBorder="1" applyAlignment="1" applyProtection="1">
      <alignment horizontal="right"/>
      <protection hidden="1"/>
    </xf>
    <xf numFmtId="0" fontId="25" fillId="0" borderId="0" xfId="0" applyNumberFormat="1" applyFont="1" applyAlignment="1" applyProtection="1">
      <alignment/>
      <protection hidden="1"/>
    </xf>
    <xf numFmtId="192" fontId="37" fillId="0" borderId="0" xfId="0" applyNumberFormat="1" applyFont="1" applyFill="1" applyBorder="1" applyAlignment="1" applyProtection="1">
      <alignment horizontal="center"/>
      <protection hidden="1"/>
    </xf>
    <xf numFmtId="192" fontId="37" fillId="0" borderId="0" xfId="0" applyNumberFormat="1" applyFont="1" applyFill="1" applyBorder="1" applyAlignment="1" applyProtection="1" quotePrefix="1">
      <alignment horizontal="right"/>
      <protection hidden="1"/>
    </xf>
    <xf numFmtId="3" fontId="36" fillId="0" borderId="69" xfId="0" applyNumberFormat="1" applyFont="1" applyFill="1" applyBorder="1" applyAlignment="1" applyProtection="1">
      <alignment/>
      <protection hidden="1"/>
    </xf>
    <xf numFmtId="3" fontId="36" fillId="0" borderId="70" xfId="0" applyNumberFormat="1" applyFont="1" applyFill="1" applyBorder="1" applyAlignment="1" applyProtection="1">
      <alignment/>
      <protection hidden="1"/>
    </xf>
    <xf numFmtId="3" fontId="36" fillId="0" borderId="70" xfId="0" applyNumberFormat="1" applyFont="1" applyFill="1" applyBorder="1" applyAlignment="1" applyProtection="1">
      <alignment horizontal="center"/>
      <protection hidden="1"/>
    </xf>
    <xf numFmtId="3" fontId="36" fillId="0" borderId="59" xfId="0" applyNumberFormat="1" applyFont="1" applyFill="1" applyBorder="1" applyAlignment="1" applyProtection="1">
      <alignment horizontal="center"/>
      <protection hidden="1"/>
    </xf>
    <xf numFmtId="9" fontId="36" fillId="0" borderId="70" xfId="68" applyFont="1" applyFill="1" applyBorder="1" applyAlignment="1" applyProtection="1">
      <alignment horizontal="center"/>
      <protection hidden="1"/>
    </xf>
    <xf numFmtId="3" fontId="36" fillId="0" borderId="70" xfId="0" applyNumberFormat="1" applyFont="1" applyBorder="1" applyAlignment="1" applyProtection="1">
      <alignment/>
      <protection hidden="1"/>
    </xf>
    <xf numFmtId="3" fontId="36" fillId="0" borderId="73" xfId="0" applyNumberFormat="1" applyFont="1" applyBorder="1" applyAlignment="1" applyProtection="1">
      <alignment/>
      <protection hidden="1"/>
    </xf>
    <xf numFmtId="3" fontId="37" fillId="0" borderId="57" xfId="0" applyNumberFormat="1" applyFont="1" applyBorder="1" applyAlignment="1" applyProtection="1">
      <alignment/>
      <protection hidden="1"/>
    </xf>
    <xf numFmtId="3" fontId="36" fillId="0" borderId="69" xfId="0" applyNumberFormat="1" applyFont="1" applyFill="1" applyBorder="1" applyAlignment="1" applyProtection="1">
      <alignment/>
      <protection hidden="1"/>
    </xf>
    <xf numFmtId="3" fontId="36" fillId="0" borderId="70" xfId="0" applyNumberFormat="1" applyFont="1" applyFill="1" applyBorder="1" applyAlignment="1" applyProtection="1">
      <alignment/>
      <protection hidden="1"/>
    </xf>
    <xf numFmtId="3" fontId="36" fillId="0" borderId="70" xfId="60" applyNumberFormat="1" applyFont="1" applyBorder="1" applyAlignment="1" applyProtection="1">
      <alignment/>
      <protection hidden="1"/>
    </xf>
    <xf numFmtId="3" fontId="37" fillId="0" borderId="57" xfId="60" applyNumberFormat="1" applyFont="1" applyBorder="1" applyAlignment="1" applyProtection="1">
      <alignment/>
      <protection hidden="1"/>
    </xf>
    <xf numFmtId="3" fontId="36" fillId="0" borderId="0" xfId="0" applyNumberFormat="1" applyFont="1" applyBorder="1" applyAlignment="1" applyProtection="1">
      <alignment/>
      <protection hidden="1"/>
    </xf>
    <xf numFmtId="3" fontId="36" fillId="0" borderId="0" xfId="0" applyNumberFormat="1" applyFont="1" applyFill="1" applyBorder="1" applyAlignment="1" applyProtection="1">
      <alignment/>
      <protection hidden="1"/>
    </xf>
    <xf numFmtId="3" fontId="36" fillId="0" borderId="68" xfId="0" applyNumberFormat="1" applyFont="1" applyFill="1" applyBorder="1" applyAlignment="1" applyProtection="1">
      <alignment/>
      <protection hidden="1"/>
    </xf>
    <xf numFmtId="3" fontId="36" fillId="0" borderId="62" xfId="0" applyNumberFormat="1" applyFont="1" applyFill="1" applyBorder="1" applyAlignment="1" applyProtection="1">
      <alignment/>
      <protection hidden="1"/>
    </xf>
    <xf numFmtId="3" fontId="36" fillId="0" borderId="62" xfId="0" applyNumberFormat="1" applyFont="1" applyBorder="1" applyAlignment="1" applyProtection="1">
      <alignment/>
      <protection hidden="1"/>
    </xf>
    <xf numFmtId="3" fontId="36" fillId="0" borderId="57" xfId="0" applyNumberFormat="1" applyFont="1" applyBorder="1" applyAlignment="1" applyProtection="1">
      <alignment/>
      <protection hidden="1"/>
    </xf>
    <xf numFmtId="3" fontId="36" fillId="0" borderId="69" xfId="0" applyNumberFormat="1" applyFont="1" applyBorder="1" applyAlignment="1" applyProtection="1">
      <alignment/>
      <protection hidden="1"/>
    </xf>
    <xf numFmtId="3" fontId="36" fillId="0" borderId="0" xfId="0" applyNumberFormat="1" applyFont="1" applyAlignment="1" applyProtection="1">
      <alignment/>
      <protection hidden="1"/>
    </xf>
    <xf numFmtId="206" fontId="36" fillId="0" borderId="70" xfId="60" applyNumberFormat="1" applyFont="1" applyBorder="1" applyAlignment="1" applyProtection="1">
      <alignment/>
      <protection hidden="1"/>
    </xf>
    <xf numFmtId="206" fontId="36" fillId="0" borderId="70" xfId="60" applyNumberFormat="1" applyFont="1" applyBorder="1" applyAlignment="1" applyProtection="1">
      <alignment/>
      <protection hidden="1"/>
    </xf>
    <xf numFmtId="206" fontId="36" fillId="0" borderId="67" xfId="60" applyNumberFormat="1" applyFont="1" applyBorder="1" applyAlignment="1" applyProtection="1">
      <alignment/>
      <protection hidden="1"/>
    </xf>
    <xf numFmtId="3" fontId="36" fillId="0" borderId="59" xfId="60" applyNumberFormat="1" applyFont="1" applyBorder="1" applyAlignment="1" applyProtection="1">
      <alignment/>
      <protection hidden="1"/>
    </xf>
    <xf numFmtId="37" fontId="54" fillId="0" borderId="0" xfId="0" applyNumberFormat="1" applyFont="1" applyBorder="1" applyAlignment="1" applyProtection="1">
      <alignment/>
      <protection hidden="1"/>
    </xf>
    <xf numFmtId="37" fontId="14" fillId="0" borderId="0" xfId="0" applyNumberFormat="1" applyFont="1" applyBorder="1" applyAlignment="1" applyProtection="1">
      <alignment horizontal="center"/>
      <protection hidden="1"/>
    </xf>
    <xf numFmtId="192" fontId="37" fillId="0" borderId="0" xfId="0" applyNumberFormat="1" applyFont="1" applyFill="1" applyBorder="1" applyAlignment="1" applyProtection="1">
      <alignment/>
      <protection hidden="1"/>
    </xf>
    <xf numFmtId="192" fontId="38" fillId="0" borderId="61" xfId="0" applyNumberFormat="1" applyFont="1" applyFill="1" applyBorder="1" applyAlignment="1" applyProtection="1">
      <alignment/>
      <protection hidden="1"/>
    </xf>
    <xf numFmtId="192" fontId="38" fillId="0" borderId="62" xfId="0" applyNumberFormat="1" applyFont="1" applyFill="1" applyBorder="1" applyAlignment="1" applyProtection="1">
      <alignment/>
      <protection hidden="1"/>
    </xf>
    <xf numFmtId="192" fontId="20" fillId="0" borderId="16" xfId="0" applyNumberFormat="1" applyFont="1" applyFill="1" applyBorder="1" applyAlignment="1" applyProtection="1" quotePrefix="1">
      <alignment/>
      <protection locked="0"/>
    </xf>
    <xf numFmtId="192" fontId="36" fillId="0" borderId="0" xfId="62" applyNumberFormat="1" applyFont="1" applyBorder="1" applyAlignment="1" applyProtection="1">
      <alignment/>
      <protection hidden="1"/>
    </xf>
    <xf numFmtId="192" fontId="36" fillId="0" borderId="70" xfId="62" applyNumberFormat="1" applyFont="1" applyBorder="1" applyAlignment="1" applyProtection="1">
      <alignment/>
      <protection hidden="1"/>
    </xf>
    <xf numFmtId="192" fontId="36" fillId="0" borderId="0" xfId="62" applyNumberFormat="1" applyFont="1" applyFill="1" applyBorder="1" applyAlignment="1" applyProtection="1">
      <alignment/>
      <protection hidden="1"/>
    </xf>
    <xf numFmtId="192" fontId="36" fillId="0" borderId="70" xfId="62" applyNumberFormat="1" applyFont="1" applyFill="1" applyBorder="1" applyAlignment="1" applyProtection="1">
      <alignment/>
      <protection hidden="1"/>
    </xf>
    <xf numFmtId="192" fontId="37" fillId="0" borderId="70" xfId="62" applyNumberFormat="1" applyFont="1" applyFill="1" applyBorder="1" applyAlignment="1" applyProtection="1">
      <alignment/>
      <protection hidden="1"/>
    </xf>
    <xf numFmtId="192" fontId="37" fillId="0" borderId="0" xfId="62" applyNumberFormat="1" applyFont="1" applyBorder="1" applyAlignment="1" applyProtection="1">
      <alignment/>
      <protection hidden="1"/>
    </xf>
    <xf numFmtId="192" fontId="38" fillId="0" borderId="62" xfId="0" applyNumberFormat="1" applyFont="1" applyBorder="1" applyAlignment="1" applyProtection="1">
      <alignment/>
      <protection hidden="1"/>
    </xf>
    <xf numFmtId="192" fontId="36" fillId="0" borderId="74" xfId="68" applyNumberFormat="1" applyFont="1" applyBorder="1" applyAlignment="1" applyProtection="1">
      <alignment/>
      <protection hidden="1"/>
    </xf>
    <xf numFmtId="204" fontId="13" fillId="0" borderId="15" xfId="0" applyNumberFormat="1" applyFont="1" applyFill="1" applyBorder="1" applyAlignment="1" applyProtection="1">
      <alignment/>
      <protection hidden="1"/>
    </xf>
    <xf numFmtId="192" fontId="2" fillId="0" borderId="0" xfId="0" applyFont="1" applyFill="1" applyBorder="1" applyAlignment="1" applyProtection="1">
      <alignment/>
      <protection locked="0"/>
    </xf>
    <xf numFmtId="192" fontId="4" fillId="0" borderId="0" xfId="0" applyFont="1" applyFill="1" applyBorder="1" applyAlignment="1" applyProtection="1" quotePrefix="1">
      <alignment horizontal="right"/>
      <protection locked="0"/>
    </xf>
    <xf numFmtId="204" fontId="4" fillId="0" borderId="0" xfId="0" applyNumberFormat="1" applyFont="1" applyBorder="1" applyAlignment="1" quotePrefix="1">
      <alignment horizontal="right"/>
    </xf>
    <xf numFmtId="204" fontId="20" fillId="0" borderId="15" xfId="0" applyNumberFormat="1" applyFont="1" applyFill="1" applyBorder="1" applyAlignment="1" applyProtection="1">
      <alignment/>
      <protection locked="0"/>
    </xf>
    <xf numFmtId="204" fontId="4" fillId="0" borderId="0" xfId="0" applyNumberFormat="1" applyFont="1" applyBorder="1" applyAlignment="1" applyProtection="1">
      <alignment horizontal="right"/>
      <protection/>
    </xf>
    <xf numFmtId="204" fontId="12" fillId="0" borderId="15" xfId="0" applyNumberFormat="1" applyFont="1" applyFill="1" applyBorder="1" applyAlignment="1" applyProtection="1">
      <alignment/>
      <protection/>
    </xf>
    <xf numFmtId="204" fontId="20" fillId="0" borderId="0" xfId="0" applyNumberFormat="1" applyFont="1" applyFill="1" applyBorder="1" applyAlignment="1" applyProtection="1">
      <alignment horizontal="center"/>
      <protection hidden="1"/>
    </xf>
    <xf numFmtId="204" fontId="4" fillId="0" borderId="0" xfId="0" applyNumberFormat="1" applyFont="1" applyBorder="1" applyAlignment="1" applyProtection="1">
      <alignment/>
      <protection/>
    </xf>
    <xf numFmtId="204" fontId="4" fillId="0" borderId="15" xfId="0" applyNumberFormat="1" applyFont="1" applyFill="1" applyBorder="1" applyAlignment="1" applyProtection="1">
      <alignment/>
      <protection hidden="1"/>
    </xf>
    <xf numFmtId="192" fontId="4" fillId="0" borderId="0" xfId="0" applyFont="1" applyBorder="1" applyAlignment="1" applyProtection="1">
      <alignment horizontal="right"/>
      <protection hidden="1"/>
    </xf>
    <xf numFmtId="192" fontId="12" fillId="0" borderId="15" xfId="0" applyNumberFormat="1" applyFont="1" applyFill="1" applyBorder="1" applyAlignment="1" applyProtection="1">
      <alignment/>
      <protection hidden="1"/>
    </xf>
    <xf numFmtId="10" fontId="38" fillId="0" borderId="70" xfId="68" applyNumberFormat="1" applyFont="1" applyFill="1" applyBorder="1" applyAlignment="1" applyProtection="1">
      <alignment/>
      <protection hidden="1"/>
    </xf>
    <xf numFmtId="10" fontId="38" fillId="0" borderId="73" xfId="68" applyNumberFormat="1" applyFont="1" applyFill="1" applyBorder="1" applyAlignment="1" applyProtection="1">
      <alignment/>
      <protection hidden="1"/>
    </xf>
    <xf numFmtId="0" fontId="13" fillId="35" borderId="22" xfId="0" applyNumberFormat="1" applyFont="1" applyFill="1" applyBorder="1" applyAlignment="1" applyProtection="1">
      <alignment horizontal="center"/>
      <protection locked="0"/>
    </xf>
    <xf numFmtId="192" fontId="24" fillId="0" borderId="14" xfId="0" applyNumberFormat="1" applyFont="1" applyFill="1" applyBorder="1" applyAlignment="1" applyProtection="1">
      <alignment/>
      <protection/>
    </xf>
    <xf numFmtId="192" fontId="24" fillId="0" borderId="14" xfId="0" applyNumberFormat="1" applyFont="1" applyFill="1" applyBorder="1" applyAlignment="1" applyProtection="1" quotePrefix="1">
      <alignment horizontal="left"/>
      <protection locked="0"/>
    </xf>
    <xf numFmtId="192" fontId="24" fillId="35" borderId="20" xfId="0" applyNumberFormat="1" applyFont="1" applyFill="1" applyBorder="1" applyAlignment="1" applyProtection="1">
      <alignment/>
      <protection/>
    </xf>
    <xf numFmtId="204" fontId="13" fillId="0" borderId="0" xfId="0" applyNumberFormat="1" applyFont="1" applyFill="1" applyBorder="1" applyAlignment="1" applyProtection="1">
      <alignment/>
      <protection hidden="1"/>
    </xf>
    <xf numFmtId="192" fontId="12" fillId="0" borderId="0" xfId="0" applyNumberFormat="1" applyFont="1" applyFill="1" applyBorder="1" applyAlignment="1" applyProtection="1">
      <alignment/>
      <protection locked="0"/>
    </xf>
    <xf numFmtId="197" fontId="20" fillId="0" borderId="0" xfId="0" applyNumberFormat="1" applyFont="1" applyFill="1" applyBorder="1" applyAlignment="1" applyProtection="1">
      <alignment/>
      <protection locked="0"/>
    </xf>
    <xf numFmtId="192" fontId="4" fillId="0" borderId="0" xfId="0" applyFont="1" applyFill="1" applyBorder="1" applyAlignment="1">
      <alignment horizontal="right"/>
    </xf>
    <xf numFmtId="192" fontId="13" fillId="0" borderId="0" xfId="0" applyNumberFormat="1" applyFont="1" applyFill="1" applyBorder="1" applyAlignment="1" applyProtection="1">
      <alignment/>
      <protection locked="0"/>
    </xf>
    <xf numFmtId="192" fontId="4" fillId="0" borderId="0" xfId="0" applyFont="1" applyFill="1" applyBorder="1" applyAlignment="1" applyProtection="1">
      <alignment horizontal="right"/>
      <protection hidden="1"/>
    </xf>
    <xf numFmtId="192" fontId="4" fillId="0" borderId="0" xfId="0" applyFont="1" applyFill="1" applyBorder="1" applyAlignment="1" quotePrefix="1">
      <alignment horizontal="right"/>
    </xf>
    <xf numFmtId="192" fontId="13" fillId="0" borderId="0" xfId="0" applyNumberFormat="1" applyFont="1" applyFill="1" applyBorder="1" applyAlignment="1" applyProtection="1">
      <alignment horizontal="right"/>
      <protection locked="0"/>
    </xf>
    <xf numFmtId="192" fontId="13" fillId="0" borderId="15" xfId="0" applyNumberFormat="1" applyFont="1" applyFill="1" applyBorder="1" applyAlignment="1" applyProtection="1">
      <alignment/>
      <protection locked="0"/>
    </xf>
    <xf numFmtId="192" fontId="24" fillId="0" borderId="14" xfId="0" applyNumberFormat="1" applyFont="1" applyFill="1" applyBorder="1" applyAlignment="1" applyProtection="1">
      <alignment/>
      <protection locked="0"/>
    </xf>
    <xf numFmtId="192" fontId="12" fillId="0" borderId="21" xfId="0" applyNumberFormat="1" applyFont="1" applyFill="1" applyBorder="1" applyAlignment="1" applyProtection="1">
      <alignment/>
      <protection locked="0"/>
    </xf>
    <xf numFmtId="192" fontId="13" fillId="0" borderId="23" xfId="0" applyNumberFormat="1" applyFont="1" applyBorder="1" applyAlignment="1" applyProtection="1">
      <alignment/>
      <protection locked="0"/>
    </xf>
    <xf numFmtId="192" fontId="12" fillId="0" borderId="12" xfId="0" applyNumberFormat="1" applyFont="1" applyFill="1" applyBorder="1" applyAlignment="1" applyProtection="1">
      <alignment/>
      <protection locked="0"/>
    </xf>
    <xf numFmtId="204" fontId="4" fillId="0" borderId="15" xfId="0" applyNumberFormat="1" applyFont="1" applyBorder="1" applyAlignment="1" applyProtection="1">
      <alignment/>
      <protection hidden="1"/>
    </xf>
    <xf numFmtId="204" fontId="17" fillId="0" borderId="15" xfId="0" applyNumberFormat="1" applyFont="1" applyBorder="1" applyAlignment="1" applyProtection="1">
      <alignment/>
      <protection hidden="1"/>
    </xf>
    <xf numFmtId="192" fontId="13" fillId="0" borderId="17" xfId="0" applyNumberFormat="1" applyFont="1" applyFill="1" applyBorder="1" applyAlignment="1" applyProtection="1">
      <alignment/>
      <protection locked="0"/>
    </xf>
    <xf numFmtId="192" fontId="17" fillId="0" borderId="23" xfId="0" applyNumberFormat="1" applyFont="1" applyBorder="1" applyAlignment="1" applyProtection="1">
      <alignment/>
      <protection hidden="1"/>
    </xf>
    <xf numFmtId="192" fontId="12" fillId="0" borderId="11" xfId="0" applyNumberFormat="1" applyFont="1" applyFill="1" applyBorder="1" applyAlignment="1" applyProtection="1">
      <alignment/>
      <protection locked="0"/>
    </xf>
    <xf numFmtId="192" fontId="1" fillId="0" borderId="10" xfId="0" applyFont="1" applyBorder="1" applyAlignment="1">
      <alignment horizontal="center"/>
    </xf>
    <xf numFmtId="192" fontId="13" fillId="0" borderId="15" xfId="0" applyNumberFormat="1" applyFont="1" applyFill="1" applyBorder="1" applyAlignment="1" applyProtection="1">
      <alignment/>
      <protection hidden="1" locked="0"/>
    </xf>
    <xf numFmtId="192" fontId="13" fillId="0" borderId="17" xfId="0" applyNumberFormat="1" applyFont="1" applyFill="1" applyBorder="1" applyAlignment="1" applyProtection="1">
      <alignment/>
      <protection hidden="1" locked="0"/>
    </xf>
    <xf numFmtId="9" fontId="20" fillId="0" borderId="14" xfId="68" applyFont="1" applyFill="1" applyBorder="1" applyAlignment="1" applyProtection="1">
      <alignment/>
      <protection locked="0"/>
    </xf>
    <xf numFmtId="192" fontId="1" fillId="0" borderId="10" xfId="0" applyNumberFormat="1" applyFont="1" applyBorder="1" applyAlignment="1" applyProtection="1">
      <alignment horizontal="center"/>
      <protection locked="0"/>
    </xf>
    <xf numFmtId="204" fontId="13" fillId="0" borderId="14" xfId="0" applyNumberFormat="1" applyFont="1" applyFill="1" applyBorder="1" applyAlignment="1" applyProtection="1">
      <alignment horizontal="center"/>
      <protection hidden="1"/>
    </xf>
    <xf numFmtId="204" fontId="4" fillId="0" borderId="0" xfId="0" applyNumberFormat="1" applyFont="1" applyAlignment="1" applyProtection="1">
      <alignment horizontal="right"/>
      <protection hidden="1"/>
    </xf>
    <xf numFmtId="204" fontId="4" fillId="0" borderId="14" xfId="0" applyNumberFormat="1" applyFont="1" applyBorder="1" applyAlignment="1" applyProtection="1">
      <alignment/>
      <protection hidden="1"/>
    </xf>
    <xf numFmtId="204" fontId="4" fillId="0" borderId="0" xfId="0" applyNumberFormat="1" applyFont="1" applyBorder="1" applyAlignment="1" applyProtection="1" quotePrefix="1">
      <alignment horizontal="right"/>
      <protection hidden="1"/>
    </xf>
    <xf numFmtId="1" fontId="4" fillId="0" borderId="70" xfId="0" applyNumberFormat="1" applyFont="1" applyBorder="1" applyAlignment="1" applyProtection="1">
      <alignment/>
      <protection hidden="1"/>
    </xf>
    <xf numFmtId="192" fontId="37" fillId="0" borderId="62" xfId="0" applyNumberFormat="1" applyFont="1" applyBorder="1" applyAlignment="1" applyProtection="1">
      <alignment/>
      <protection hidden="1"/>
    </xf>
    <xf numFmtId="192" fontId="37" fillId="0" borderId="62" xfId="0" applyFont="1" applyBorder="1" applyAlignment="1" applyProtection="1">
      <alignment/>
      <protection hidden="1"/>
    </xf>
    <xf numFmtId="3" fontId="37" fillId="0" borderId="73" xfId="0" applyNumberFormat="1" applyFont="1" applyBorder="1" applyAlignment="1" applyProtection="1">
      <alignment/>
      <protection hidden="1"/>
    </xf>
    <xf numFmtId="192" fontId="13" fillId="0" borderId="14" xfId="0" applyNumberFormat="1" applyFont="1" applyFill="1" applyBorder="1" applyAlignment="1" applyProtection="1">
      <alignment horizontal="right"/>
      <protection hidden="1"/>
    </xf>
    <xf numFmtId="192" fontId="4" fillId="0" borderId="15" xfId="0" applyNumberFormat="1" applyFont="1" applyFill="1" applyBorder="1" applyAlignment="1" applyProtection="1">
      <alignment/>
      <protection hidden="1"/>
    </xf>
    <xf numFmtId="192" fontId="12" fillId="0" borderId="17" xfId="0" applyNumberFormat="1" applyFont="1" applyBorder="1" applyAlignment="1" applyProtection="1">
      <alignment/>
      <protection hidden="1"/>
    </xf>
    <xf numFmtId="192" fontId="20" fillId="0" borderId="15" xfId="0" applyNumberFormat="1" applyFont="1" applyFill="1" applyBorder="1" applyAlignment="1" applyProtection="1">
      <alignment/>
      <protection locked="0"/>
    </xf>
    <xf numFmtId="192" fontId="17" fillId="0" borderId="0" xfId="0" applyNumberFormat="1" applyFont="1" applyBorder="1" applyAlignment="1" applyProtection="1">
      <alignment horizontal="right"/>
      <protection hidden="1"/>
    </xf>
    <xf numFmtId="192" fontId="4" fillId="0" borderId="0" xfId="0" applyFont="1" applyBorder="1" applyAlignment="1" applyProtection="1" quotePrefix="1">
      <alignment horizontal="right"/>
      <protection hidden="1"/>
    </xf>
    <xf numFmtId="192" fontId="4" fillId="0" borderId="14" xfId="0" applyFont="1" applyBorder="1" applyAlignment="1" applyProtection="1" quotePrefix="1">
      <alignment horizontal="right"/>
      <protection hidden="1"/>
    </xf>
    <xf numFmtId="192" fontId="17" fillId="0" borderId="14" xfId="0" applyNumberFormat="1" applyFont="1" applyBorder="1" applyAlignment="1" applyProtection="1">
      <alignment horizontal="right"/>
      <protection hidden="1"/>
    </xf>
    <xf numFmtId="192" fontId="4" fillId="0" borderId="0" xfId="0" applyFont="1" applyAlignment="1" applyProtection="1">
      <alignment horizontal="right"/>
      <protection hidden="1"/>
    </xf>
    <xf numFmtId="192" fontId="4" fillId="0" borderId="14" xfId="0" applyFont="1" applyBorder="1" applyAlignment="1">
      <alignment horizontal="right"/>
    </xf>
    <xf numFmtId="192" fontId="1" fillId="33" borderId="10" xfId="0" applyFont="1" applyFill="1" applyBorder="1" applyAlignment="1">
      <alignment horizontal="centerContinuous"/>
    </xf>
    <xf numFmtId="192" fontId="4" fillId="0" borderId="21" xfId="0" applyNumberFormat="1" applyFont="1" applyFill="1" applyBorder="1" applyAlignment="1" applyProtection="1">
      <alignment/>
      <protection hidden="1"/>
    </xf>
    <xf numFmtId="197" fontId="4" fillId="0" borderId="0" xfId="0" applyNumberFormat="1" applyFont="1" applyAlignment="1" applyProtection="1">
      <alignment/>
      <protection hidden="1"/>
    </xf>
    <xf numFmtId="204" fontId="36" fillId="0" borderId="0" xfId="0" applyNumberFormat="1" applyFont="1" applyBorder="1" applyAlignment="1" applyProtection="1">
      <alignment/>
      <protection hidden="1"/>
    </xf>
    <xf numFmtId="1" fontId="25" fillId="0" borderId="23" xfId="0" applyNumberFormat="1" applyFont="1" applyBorder="1" applyAlignment="1" applyProtection="1">
      <alignment/>
      <protection hidden="1"/>
    </xf>
    <xf numFmtId="1" fontId="25" fillId="0" borderId="0" xfId="0" applyNumberFormat="1" applyFont="1" applyAlignment="1" applyProtection="1">
      <alignment/>
      <protection hidden="1"/>
    </xf>
    <xf numFmtId="1" fontId="25" fillId="0" borderId="15" xfId="0" applyNumberFormat="1" applyFont="1" applyBorder="1" applyAlignment="1" applyProtection="1">
      <alignment/>
      <protection hidden="1"/>
    </xf>
    <xf numFmtId="1" fontId="25" fillId="0" borderId="17" xfId="0" applyNumberFormat="1" applyFont="1" applyBorder="1" applyAlignment="1" applyProtection="1">
      <alignment/>
      <protection hidden="1"/>
    </xf>
    <xf numFmtId="204" fontId="25" fillId="0" borderId="15" xfId="0" applyNumberFormat="1" applyFont="1" applyBorder="1" applyAlignment="1" applyProtection="1">
      <alignment/>
      <protection hidden="1"/>
    </xf>
    <xf numFmtId="192" fontId="1" fillId="0" borderId="18" xfId="0" applyFont="1" applyFill="1" applyBorder="1" applyAlignment="1" applyProtection="1">
      <alignment/>
      <protection hidden="1"/>
    </xf>
    <xf numFmtId="192" fontId="1" fillId="0" borderId="11" xfId="0" applyFont="1" applyFill="1" applyBorder="1" applyAlignment="1" applyProtection="1">
      <alignment/>
      <protection hidden="1"/>
    </xf>
    <xf numFmtId="199" fontId="1" fillId="0" borderId="11" xfId="0" applyNumberFormat="1" applyFont="1" applyFill="1" applyBorder="1" applyAlignment="1" applyProtection="1">
      <alignment/>
      <protection hidden="1"/>
    </xf>
    <xf numFmtId="199" fontId="1" fillId="0" borderId="12" xfId="0" applyNumberFormat="1" applyFont="1" applyFill="1" applyBorder="1" applyAlignment="1" applyProtection="1">
      <alignment horizontal="center"/>
      <protection hidden="1"/>
    </xf>
    <xf numFmtId="192" fontId="1" fillId="0" borderId="14" xfId="0" applyFont="1" applyFill="1" applyBorder="1" applyAlignment="1" applyProtection="1">
      <alignment/>
      <protection hidden="1"/>
    </xf>
    <xf numFmtId="199" fontId="1" fillId="0" borderId="15" xfId="0" applyNumberFormat="1" applyFont="1" applyFill="1" applyBorder="1" applyAlignment="1" applyProtection="1">
      <alignment horizontal="center"/>
      <protection hidden="1"/>
    </xf>
    <xf numFmtId="199" fontId="4" fillId="0" borderId="15" xfId="0" applyNumberFormat="1" applyFont="1" applyFill="1" applyBorder="1" applyAlignment="1" applyProtection="1">
      <alignment/>
      <protection hidden="1"/>
    </xf>
    <xf numFmtId="199" fontId="4" fillId="0" borderId="15" xfId="0" applyNumberFormat="1" applyFont="1" applyFill="1" applyBorder="1" applyAlignment="1" applyProtection="1">
      <alignment horizontal="center"/>
      <protection hidden="1"/>
    </xf>
    <xf numFmtId="192" fontId="61" fillId="0" borderId="14" xfId="0" applyFont="1" applyBorder="1" applyAlignment="1" applyProtection="1">
      <alignment horizontal="centerContinuous"/>
      <protection locked="0"/>
    </xf>
    <xf numFmtId="192" fontId="61" fillId="0" borderId="0" xfId="0" applyFont="1" applyBorder="1" applyAlignment="1" applyProtection="1">
      <alignment horizontal="centerContinuous"/>
      <protection locked="0"/>
    </xf>
    <xf numFmtId="192" fontId="61" fillId="0" borderId="15" xfId="0" applyFont="1" applyBorder="1" applyAlignment="1" applyProtection="1">
      <alignment horizontal="centerContinuous"/>
      <protection locked="0"/>
    </xf>
    <xf numFmtId="204" fontId="13" fillId="0" borderId="20" xfId="0" applyNumberFormat="1" applyFont="1" applyFill="1" applyBorder="1" applyAlignment="1" applyProtection="1">
      <alignment horizontal="centerContinuous"/>
      <protection/>
    </xf>
    <xf numFmtId="204" fontId="13" fillId="0" borderId="21" xfId="0" applyNumberFormat="1" applyFont="1" applyFill="1" applyBorder="1" applyAlignment="1" applyProtection="1">
      <alignment horizontal="centerContinuous"/>
      <protection/>
    </xf>
    <xf numFmtId="204" fontId="13" fillId="0" borderId="17" xfId="0" applyNumberFormat="1" applyFont="1" applyFill="1" applyBorder="1" applyAlignment="1" applyProtection="1">
      <alignment horizontal="centerContinuous"/>
      <protection/>
    </xf>
    <xf numFmtId="192" fontId="61" fillId="0" borderId="18" xfId="0" applyFont="1" applyBorder="1" applyAlignment="1" applyProtection="1">
      <alignment horizontal="centerContinuous"/>
      <protection locked="0"/>
    </xf>
    <xf numFmtId="192" fontId="61" fillId="0" borderId="11" xfId="0" applyFont="1" applyBorder="1" applyAlignment="1" applyProtection="1">
      <alignment horizontal="centerContinuous"/>
      <protection locked="0"/>
    </xf>
    <xf numFmtId="192" fontId="61" fillId="0" borderId="12" xfId="0" applyFont="1" applyBorder="1" applyAlignment="1" applyProtection="1">
      <alignment horizontal="centerContinuous"/>
      <protection locked="0"/>
    </xf>
    <xf numFmtId="192" fontId="1" fillId="33" borderId="19" xfId="0" applyFont="1" applyFill="1" applyBorder="1" applyAlignment="1">
      <alignment horizontal="centerContinuous"/>
    </xf>
    <xf numFmtId="192" fontId="1" fillId="33" borderId="23" xfId="0" applyFont="1" applyFill="1" applyBorder="1" applyAlignment="1">
      <alignment horizontal="centerContinuous"/>
    </xf>
    <xf numFmtId="192" fontId="55" fillId="0" borderId="21" xfId="0" applyFont="1" applyBorder="1" applyAlignment="1" applyProtection="1">
      <alignment horizontal="left"/>
      <protection/>
    </xf>
    <xf numFmtId="192" fontId="13" fillId="0" borderId="14" xfId="0" applyFont="1" applyBorder="1" applyAlignment="1" applyProtection="1">
      <alignment horizontal="centerContinuous"/>
      <protection locked="0"/>
    </xf>
    <xf numFmtId="192" fontId="13" fillId="0" borderId="15" xfId="0" applyFont="1" applyBorder="1" applyAlignment="1" applyProtection="1">
      <alignment horizontal="centerContinuous"/>
      <protection locked="0"/>
    </xf>
    <xf numFmtId="192" fontId="4" fillId="0" borderId="10" xfId="0" applyFont="1" applyBorder="1" applyAlignment="1">
      <alignment horizontal="centerContinuous"/>
    </xf>
    <xf numFmtId="192" fontId="36" fillId="0" borderId="0" xfId="0" applyFont="1" applyBorder="1" applyAlignment="1" applyProtection="1">
      <alignment horizontal="centerContinuous"/>
      <protection hidden="1"/>
    </xf>
    <xf numFmtId="192" fontId="1" fillId="0" borderId="39" xfId="0" applyFont="1" applyBorder="1" applyAlignment="1" applyProtection="1">
      <alignment horizontal="centerContinuous"/>
      <protection/>
    </xf>
    <xf numFmtId="192" fontId="1" fillId="0" borderId="41" xfId="0" applyFont="1" applyBorder="1" applyAlignment="1" applyProtection="1">
      <alignment horizontal="centerContinuous"/>
      <protection/>
    </xf>
    <xf numFmtId="192" fontId="4" fillId="0" borderId="39" xfId="0" applyFont="1" applyBorder="1" applyAlignment="1" applyProtection="1">
      <alignment horizontal="centerContinuous"/>
      <protection/>
    </xf>
    <xf numFmtId="192" fontId="4" fillId="0" borderId="41" xfId="0" applyFont="1" applyBorder="1" applyAlignment="1" applyProtection="1">
      <alignment horizontal="centerContinuous"/>
      <protection/>
    </xf>
    <xf numFmtId="192" fontId="4" fillId="0" borderId="40" xfId="0" applyFont="1" applyBorder="1" applyAlignment="1" applyProtection="1">
      <alignment horizontal="centerContinuous"/>
      <protection/>
    </xf>
    <xf numFmtId="199" fontId="1" fillId="0" borderId="22" xfId="0" applyNumberFormat="1" applyFont="1" applyFill="1" applyBorder="1" applyAlignment="1" applyProtection="1">
      <alignment/>
      <protection hidden="1"/>
    </xf>
    <xf numFmtId="199" fontId="4" fillId="0" borderId="22" xfId="0" applyNumberFormat="1" applyFont="1" applyFill="1" applyBorder="1" applyAlignment="1" applyProtection="1">
      <alignment/>
      <protection hidden="1"/>
    </xf>
    <xf numFmtId="9" fontId="36" fillId="0" borderId="22" xfId="68" applyFont="1" applyBorder="1" applyAlignment="1" applyProtection="1">
      <alignment/>
      <protection hidden="1"/>
    </xf>
    <xf numFmtId="192" fontId="1" fillId="0" borderId="22" xfId="0" applyFont="1" applyBorder="1" applyAlignment="1" applyProtection="1">
      <alignment/>
      <protection hidden="1"/>
    </xf>
    <xf numFmtId="199" fontId="1" fillId="0" borderId="22" xfId="0" applyNumberFormat="1" applyFont="1" applyFill="1" applyBorder="1" applyAlignment="1" applyProtection="1">
      <alignment horizontal="center"/>
      <protection hidden="1"/>
    </xf>
    <xf numFmtId="207" fontId="14" fillId="0" borderId="0" xfId="60" applyNumberFormat="1" applyFont="1" applyFill="1" applyBorder="1" applyAlignment="1" applyProtection="1">
      <alignment/>
      <protection hidden="1"/>
    </xf>
    <xf numFmtId="192" fontId="37" fillId="0" borderId="0" xfId="0" applyNumberFormat="1" applyFont="1" applyFill="1" applyBorder="1" applyAlignment="1" applyProtection="1">
      <alignment/>
      <protection hidden="1"/>
    </xf>
    <xf numFmtId="192" fontId="24" fillId="35" borderId="18" xfId="0" applyNumberFormat="1" applyFont="1" applyFill="1" applyBorder="1" applyAlignment="1" applyProtection="1" quotePrefix="1">
      <alignment horizontal="left"/>
      <protection/>
    </xf>
    <xf numFmtId="192" fontId="1" fillId="35" borderId="0" xfId="0" applyFont="1" applyFill="1" applyBorder="1" applyAlignment="1">
      <alignment horizontal="left"/>
    </xf>
    <xf numFmtId="192" fontId="1" fillId="35" borderId="0" xfId="0" applyFont="1" applyFill="1" applyBorder="1" applyAlignment="1">
      <alignment/>
    </xf>
    <xf numFmtId="192" fontId="1" fillId="35" borderId="20" xfId="0" applyNumberFormat="1" applyFont="1" applyFill="1" applyBorder="1" applyAlignment="1" applyProtection="1">
      <alignment horizontal="left"/>
      <protection/>
    </xf>
    <xf numFmtId="192" fontId="61" fillId="0" borderId="20" xfId="0" applyFont="1" applyBorder="1" applyAlignment="1" applyProtection="1">
      <alignment horizontal="centerContinuous"/>
      <protection locked="0"/>
    </xf>
    <xf numFmtId="192" fontId="61" fillId="0" borderId="21" xfId="0" applyFont="1" applyBorder="1" applyAlignment="1" applyProtection="1">
      <alignment horizontal="centerContinuous"/>
      <protection locked="0"/>
    </xf>
    <xf numFmtId="192" fontId="61" fillId="0" borderId="17" xfId="0" applyFont="1" applyBorder="1" applyAlignment="1" applyProtection="1">
      <alignment horizontal="centerContinuous"/>
      <protection locked="0"/>
    </xf>
    <xf numFmtId="192" fontId="20" fillId="0" borderId="24" xfId="0" applyFont="1" applyFill="1" applyBorder="1" applyAlignment="1" applyProtection="1">
      <alignment horizontal="right"/>
      <protection/>
    </xf>
    <xf numFmtId="192" fontId="12" fillId="0" borderId="60" xfId="0" applyFont="1" applyFill="1" applyBorder="1" applyAlignment="1" applyProtection="1">
      <alignment horizontal="center"/>
      <protection/>
    </xf>
    <xf numFmtId="192" fontId="24" fillId="0" borderId="53" xfId="0" applyFont="1" applyFill="1" applyBorder="1" applyAlignment="1" applyProtection="1">
      <alignment/>
      <protection/>
    </xf>
    <xf numFmtId="192" fontId="1" fillId="0" borderId="0" xfId="0" applyFont="1" applyAlignment="1" applyProtection="1">
      <alignment/>
      <protection hidden="1"/>
    </xf>
    <xf numFmtId="192" fontId="1" fillId="0" borderId="0" xfId="0" applyFont="1" applyAlignment="1" applyProtection="1">
      <alignment/>
      <protection hidden="1"/>
    </xf>
    <xf numFmtId="192" fontId="1" fillId="0" borderId="10" xfId="0" applyFont="1" applyBorder="1" applyAlignment="1" applyProtection="1">
      <alignment horizontal="centerContinuous"/>
      <protection hidden="1"/>
    </xf>
    <xf numFmtId="192" fontId="1" fillId="0" borderId="19" xfId="0" applyFont="1" applyBorder="1" applyAlignment="1" applyProtection="1">
      <alignment horizontal="centerContinuous"/>
      <protection hidden="1"/>
    </xf>
    <xf numFmtId="192" fontId="1" fillId="0" borderId="23" xfId="0" applyFont="1" applyBorder="1" applyAlignment="1" applyProtection="1">
      <alignment horizontal="centerContinuous"/>
      <protection hidden="1"/>
    </xf>
    <xf numFmtId="192" fontId="1" fillId="33" borderId="18" xfId="0" applyFont="1" applyFill="1" applyBorder="1" applyAlignment="1" applyProtection="1" quotePrefix="1">
      <alignment horizontal="centerContinuous"/>
      <protection hidden="1"/>
    </xf>
    <xf numFmtId="192" fontId="1" fillId="33" borderId="11" xfId="0" applyFont="1" applyFill="1" applyBorder="1" applyAlignment="1" applyProtection="1" quotePrefix="1">
      <alignment horizontal="centerContinuous"/>
      <protection hidden="1"/>
    </xf>
    <xf numFmtId="192" fontId="1" fillId="33" borderId="12" xfId="0" applyFont="1" applyFill="1" applyBorder="1" applyAlignment="1" applyProtection="1" quotePrefix="1">
      <alignment horizontal="centerContinuous"/>
      <protection hidden="1"/>
    </xf>
    <xf numFmtId="192" fontId="1" fillId="33" borderId="11" xfId="0" applyFont="1" applyFill="1" applyBorder="1" applyAlignment="1" applyProtection="1">
      <alignment horizontal="right"/>
      <protection hidden="1"/>
    </xf>
    <xf numFmtId="192" fontId="1" fillId="33" borderId="13" xfId="0" applyFont="1" applyFill="1" applyBorder="1" applyAlignment="1" applyProtection="1" quotePrefix="1">
      <alignment horizontal="center"/>
      <protection hidden="1"/>
    </xf>
    <xf numFmtId="192" fontId="1" fillId="35" borderId="18" xfId="0" applyNumberFormat="1" applyFont="1" applyFill="1" applyBorder="1" applyAlignment="1" applyProtection="1">
      <alignment horizontal="centerContinuous"/>
      <protection hidden="1"/>
    </xf>
    <xf numFmtId="192" fontId="1" fillId="35" borderId="12" xfId="0" applyNumberFormat="1" applyFont="1" applyFill="1" applyBorder="1" applyAlignment="1" applyProtection="1">
      <alignment horizontal="centerContinuous"/>
      <protection hidden="1"/>
    </xf>
    <xf numFmtId="165" fontId="1" fillId="35" borderId="20" xfId="62" applyNumberFormat="1" applyFont="1" applyFill="1" applyBorder="1" applyAlignment="1" applyProtection="1">
      <alignment horizontal="centerContinuous"/>
      <protection hidden="1"/>
    </xf>
    <xf numFmtId="190" fontId="1" fillId="35" borderId="17" xfId="62" applyFont="1" applyFill="1" applyBorder="1" applyAlignment="1" applyProtection="1">
      <alignment horizontal="centerContinuous"/>
      <protection hidden="1"/>
    </xf>
    <xf numFmtId="192" fontId="1" fillId="35" borderId="19" xfId="0" applyFont="1" applyFill="1" applyBorder="1" applyAlignment="1" applyProtection="1">
      <alignment/>
      <protection hidden="1"/>
    </xf>
    <xf numFmtId="9" fontId="1" fillId="35" borderId="23" xfId="68" applyFont="1" applyFill="1" applyBorder="1" applyAlignment="1" applyProtection="1">
      <alignment horizontal="center"/>
      <protection hidden="1"/>
    </xf>
    <xf numFmtId="192" fontId="1" fillId="0" borderId="0" xfId="0" applyFont="1" applyBorder="1" applyAlignment="1" applyProtection="1">
      <alignment horizontal="center"/>
      <protection hidden="1"/>
    </xf>
    <xf numFmtId="192" fontId="1" fillId="33" borderId="18" xfId="0" applyFont="1" applyFill="1" applyBorder="1" applyAlignment="1" applyProtection="1">
      <alignment horizontal="center"/>
      <protection hidden="1"/>
    </xf>
    <xf numFmtId="192" fontId="1" fillId="33" borderId="16" xfId="0" applyFont="1" applyFill="1" applyBorder="1" applyAlignment="1" applyProtection="1" quotePrefix="1">
      <alignment horizontal="center"/>
      <protection hidden="1"/>
    </xf>
    <xf numFmtId="38" fontId="1" fillId="35" borderId="17" xfId="62" applyNumberFormat="1" applyFont="1" applyFill="1" applyBorder="1" applyAlignment="1" applyProtection="1">
      <alignment horizontal="centerContinuous"/>
      <protection hidden="1"/>
    </xf>
    <xf numFmtId="192" fontId="1" fillId="35" borderId="21" xfId="0" applyFont="1" applyFill="1" applyBorder="1" applyAlignment="1" applyProtection="1">
      <alignment/>
      <protection hidden="1"/>
    </xf>
    <xf numFmtId="9" fontId="1" fillId="35" borderId="17" xfId="68" applyFont="1" applyFill="1" applyBorder="1" applyAlignment="1" applyProtection="1">
      <alignment horizontal="center"/>
      <protection hidden="1"/>
    </xf>
    <xf numFmtId="192" fontId="1" fillId="33" borderId="13" xfId="0" applyFont="1" applyFill="1" applyBorder="1" applyAlignment="1" applyProtection="1">
      <alignment horizontal="center"/>
      <protection hidden="1"/>
    </xf>
    <xf numFmtId="192" fontId="1" fillId="33" borderId="18" xfId="0" applyFont="1" applyFill="1" applyBorder="1" applyAlignment="1" applyProtection="1" quotePrefix="1">
      <alignment horizontal="center"/>
      <protection hidden="1"/>
    </xf>
    <xf numFmtId="192" fontId="1" fillId="35" borderId="18" xfId="0" applyNumberFormat="1" applyFont="1" applyFill="1" applyBorder="1" applyAlignment="1" applyProtection="1">
      <alignment/>
      <protection hidden="1"/>
    </xf>
    <xf numFmtId="9" fontId="1" fillId="35" borderId="17" xfId="68" applyFont="1" applyFill="1" applyBorder="1" applyAlignment="1" applyProtection="1">
      <alignment/>
      <protection hidden="1"/>
    </xf>
    <xf numFmtId="192" fontId="1" fillId="0" borderId="0" xfId="0" applyFont="1" applyBorder="1" applyAlignment="1" applyProtection="1">
      <alignment/>
      <protection hidden="1"/>
    </xf>
    <xf numFmtId="192" fontId="1" fillId="0" borderId="0" xfId="0" applyNumberFormat="1" applyFont="1" applyFill="1" applyBorder="1" applyAlignment="1" applyProtection="1">
      <alignment/>
      <protection hidden="1"/>
    </xf>
    <xf numFmtId="192" fontId="1" fillId="33" borderId="10" xfId="0" applyNumberFormat="1" applyFont="1" applyFill="1" applyBorder="1" applyAlignment="1" applyProtection="1">
      <alignment/>
      <protection hidden="1"/>
    </xf>
    <xf numFmtId="192" fontId="1" fillId="33" borderId="19" xfId="0" applyNumberFormat="1" applyFont="1" applyFill="1" applyBorder="1" applyAlignment="1" applyProtection="1">
      <alignment/>
      <protection hidden="1"/>
    </xf>
    <xf numFmtId="192" fontId="1" fillId="33" borderId="23" xfId="0" applyNumberFormat="1" applyFont="1" applyFill="1" applyBorder="1" applyAlignment="1" applyProtection="1">
      <alignment horizontal="center"/>
      <protection hidden="1"/>
    </xf>
    <xf numFmtId="204" fontId="1" fillId="0" borderId="0" xfId="0" applyNumberFormat="1" applyFont="1" applyBorder="1" applyAlignment="1" applyProtection="1">
      <alignment/>
      <protection hidden="1"/>
    </xf>
    <xf numFmtId="204" fontId="53" fillId="0" borderId="0" xfId="0" applyNumberFormat="1" applyFont="1" applyBorder="1" applyAlignment="1" applyProtection="1">
      <alignment/>
      <protection hidden="1"/>
    </xf>
    <xf numFmtId="204" fontId="58" fillId="0" borderId="0" xfId="0" applyNumberFormat="1" applyFont="1" applyBorder="1" applyAlignment="1" applyProtection="1">
      <alignment/>
      <protection hidden="1"/>
    </xf>
    <xf numFmtId="204" fontId="54" fillId="0" borderId="0" xfId="0" applyNumberFormat="1" applyFont="1" applyBorder="1" applyAlignment="1" applyProtection="1">
      <alignment/>
      <protection hidden="1"/>
    </xf>
    <xf numFmtId="204" fontId="59" fillId="0" borderId="0" xfId="0" applyNumberFormat="1" applyFont="1" applyBorder="1" applyAlignment="1" applyProtection="1">
      <alignment/>
      <protection hidden="1"/>
    </xf>
    <xf numFmtId="204" fontId="59" fillId="0" borderId="0" xfId="0" applyNumberFormat="1" applyFont="1" applyBorder="1" applyAlignment="1" applyProtection="1">
      <alignment horizontal="right"/>
      <protection hidden="1"/>
    </xf>
    <xf numFmtId="204" fontId="59" fillId="0" borderId="0" xfId="0" applyNumberFormat="1" applyFont="1" applyBorder="1" applyAlignment="1" applyProtection="1">
      <alignment horizontal="left"/>
      <protection hidden="1"/>
    </xf>
    <xf numFmtId="192" fontId="4" fillId="0" borderId="11" xfId="0" applyNumberFormat="1" applyFont="1" applyBorder="1" applyAlignment="1" applyProtection="1">
      <alignment/>
      <protection hidden="1"/>
    </xf>
    <xf numFmtId="204" fontId="12" fillId="0" borderId="11" xfId="0" applyNumberFormat="1" applyFont="1" applyFill="1" applyBorder="1" applyAlignment="1" applyProtection="1">
      <alignment/>
      <protection hidden="1"/>
    </xf>
    <xf numFmtId="204" fontId="14" fillId="0" borderId="11" xfId="0" applyNumberFormat="1" applyFont="1" applyFill="1" applyBorder="1" applyAlignment="1" applyProtection="1">
      <alignment/>
      <protection hidden="1"/>
    </xf>
    <xf numFmtId="204" fontId="14" fillId="0" borderId="0" xfId="0" applyNumberFormat="1" applyFont="1" applyAlignment="1" applyProtection="1">
      <alignment horizontal="left"/>
      <protection hidden="1"/>
    </xf>
    <xf numFmtId="204" fontId="14" fillId="0" borderId="0" xfId="0" applyNumberFormat="1" applyFont="1" applyAlignment="1" applyProtection="1">
      <alignment/>
      <protection hidden="1"/>
    </xf>
    <xf numFmtId="204" fontId="0" fillId="0" borderId="0" xfId="0" applyNumberFormat="1" applyAlignment="1" applyProtection="1">
      <alignment/>
      <protection hidden="1"/>
    </xf>
    <xf numFmtId="204" fontId="4" fillId="0" borderId="0" xfId="0" applyNumberFormat="1" applyFont="1" applyFill="1" applyAlignment="1" applyProtection="1">
      <alignment/>
      <protection hidden="1"/>
    </xf>
    <xf numFmtId="204" fontId="16" fillId="0" borderId="0" xfId="0" applyNumberFormat="1" applyFont="1" applyFill="1" applyAlignment="1" applyProtection="1">
      <alignment/>
      <protection hidden="1"/>
    </xf>
    <xf numFmtId="204" fontId="12" fillId="0" borderId="0" xfId="0" applyNumberFormat="1" applyFont="1" applyFill="1" applyBorder="1" applyAlignment="1" applyProtection="1">
      <alignment horizontal="centerContinuous"/>
      <protection hidden="1"/>
    </xf>
    <xf numFmtId="204" fontId="14" fillId="0" borderId="0" xfId="0" applyNumberFormat="1" applyFont="1" applyFill="1" applyBorder="1" applyAlignment="1" applyProtection="1">
      <alignment/>
      <protection hidden="1"/>
    </xf>
    <xf numFmtId="204" fontId="4" fillId="0" borderId="0" xfId="0" applyNumberFormat="1" applyFont="1" applyFill="1" applyBorder="1" applyAlignment="1" applyProtection="1">
      <alignment/>
      <protection hidden="1"/>
    </xf>
    <xf numFmtId="204" fontId="0" fillId="0" borderId="0" xfId="0" applyNumberFormat="1" applyFill="1" applyAlignment="1" applyProtection="1">
      <alignment/>
      <protection hidden="1"/>
    </xf>
    <xf numFmtId="192" fontId="37" fillId="0" borderId="69" xfId="0" applyNumberFormat="1" applyFont="1" applyFill="1" applyBorder="1" applyAlignment="1" applyProtection="1">
      <alignment horizontal="center"/>
      <protection hidden="1"/>
    </xf>
    <xf numFmtId="192" fontId="37" fillId="0" borderId="0" xfId="0" applyFont="1" applyFill="1" applyBorder="1" applyAlignment="1">
      <alignment/>
    </xf>
    <xf numFmtId="192" fontId="37" fillId="0" borderId="0" xfId="0" applyFont="1" applyFill="1" applyBorder="1" applyAlignment="1">
      <alignment horizontal="center"/>
    </xf>
    <xf numFmtId="192" fontId="13" fillId="0" borderId="0" xfId="0" applyFont="1" applyFill="1" applyBorder="1" applyAlignment="1" applyProtection="1">
      <alignment horizontal="center"/>
      <protection hidden="1"/>
    </xf>
    <xf numFmtId="192" fontId="0" fillId="0" borderId="0" xfId="0" applyFill="1" applyBorder="1" applyAlignment="1">
      <alignment/>
    </xf>
    <xf numFmtId="192" fontId="36" fillId="0" borderId="0" xfId="0" applyFont="1" applyFill="1" applyBorder="1" applyAlignment="1">
      <alignment/>
    </xf>
    <xf numFmtId="1" fontId="4" fillId="0" borderId="0" xfId="0" applyNumberFormat="1" applyFont="1" applyFill="1" applyBorder="1" applyAlignment="1" applyProtection="1">
      <alignment horizontal="center"/>
      <protection hidden="1"/>
    </xf>
    <xf numFmtId="1" fontId="4" fillId="0" borderId="19" xfId="0" applyNumberFormat="1" applyFont="1" applyBorder="1" applyAlignment="1">
      <alignment horizontal="center"/>
    </xf>
    <xf numFmtId="192" fontId="13" fillId="0" borderId="14" xfId="0" applyNumberFormat="1" applyFont="1" applyFill="1" applyBorder="1" applyAlignment="1" applyProtection="1">
      <alignment horizontal="right"/>
      <protection locked="0"/>
    </xf>
    <xf numFmtId="192" fontId="13" fillId="0" borderId="0" xfId="0" applyFont="1" applyFill="1" applyBorder="1" applyAlignment="1" applyProtection="1">
      <alignment/>
      <protection locked="0"/>
    </xf>
    <xf numFmtId="192" fontId="13" fillId="0" borderId="0" xfId="0" applyFont="1" applyFill="1" applyBorder="1" applyAlignment="1" applyProtection="1">
      <alignment/>
      <protection locked="0"/>
    </xf>
    <xf numFmtId="192" fontId="13" fillId="0" borderId="11" xfId="0" applyFont="1" applyFill="1" applyBorder="1" applyAlignment="1" applyProtection="1">
      <alignment/>
      <protection locked="0"/>
    </xf>
    <xf numFmtId="192" fontId="13" fillId="0" borderId="21" xfId="0" applyFont="1" applyFill="1" applyBorder="1" applyAlignment="1" applyProtection="1">
      <alignment/>
      <protection locked="0"/>
    </xf>
    <xf numFmtId="192" fontId="4" fillId="0" borderId="14" xfId="0" applyNumberFormat="1" applyFont="1" applyBorder="1" applyAlignment="1" applyProtection="1" quotePrefix="1">
      <alignment horizontal="left"/>
      <protection/>
    </xf>
    <xf numFmtId="192" fontId="12" fillId="0" borderId="13" xfId="0" applyFont="1" applyFill="1" applyBorder="1" applyAlignment="1" applyProtection="1">
      <alignment/>
      <protection/>
    </xf>
    <xf numFmtId="192" fontId="13" fillId="0" borderId="13" xfId="0" applyFont="1" applyFill="1" applyBorder="1" applyAlignment="1" applyProtection="1">
      <alignment/>
      <protection locked="0"/>
    </xf>
    <xf numFmtId="192" fontId="13" fillId="0" borderId="24" xfId="0" applyFont="1" applyFill="1" applyBorder="1" applyAlignment="1" applyProtection="1">
      <alignment/>
      <protection locked="0"/>
    </xf>
    <xf numFmtId="192" fontId="13" fillId="0" borderId="16" xfId="0" applyFont="1" applyFill="1" applyBorder="1" applyAlignment="1" applyProtection="1">
      <alignment/>
      <protection locked="0"/>
    </xf>
    <xf numFmtId="192" fontId="12" fillId="0" borderId="19" xfId="0" applyFont="1" applyFill="1" applyBorder="1" applyAlignment="1" applyProtection="1">
      <alignment horizontal="center"/>
      <protection/>
    </xf>
    <xf numFmtId="197" fontId="12" fillId="0" borderId="19" xfId="0" applyNumberFormat="1" applyFont="1" applyFill="1" applyBorder="1" applyAlignment="1" applyProtection="1">
      <alignment/>
      <protection/>
    </xf>
    <xf numFmtId="192" fontId="29" fillId="35" borderId="18" xfId="0" applyFont="1" applyFill="1" applyBorder="1" applyAlignment="1">
      <alignment/>
    </xf>
    <xf numFmtId="192" fontId="29" fillId="35" borderId="10" xfId="0" applyFont="1" applyFill="1" applyBorder="1" applyAlignment="1" applyProtection="1">
      <alignment horizontal="left"/>
      <protection/>
    </xf>
    <xf numFmtId="192" fontId="11" fillId="35" borderId="19" xfId="0" applyFont="1" applyFill="1" applyBorder="1" applyAlignment="1">
      <alignment/>
    </xf>
    <xf numFmtId="192" fontId="0" fillId="35" borderId="23" xfId="0" applyFont="1" applyFill="1" applyBorder="1" applyAlignment="1">
      <alignment/>
    </xf>
    <xf numFmtId="192" fontId="24" fillId="0" borderId="10" xfId="0" applyFont="1" applyFill="1" applyBorder="1" applyAlignment="1" applyProtection="1">
      <alignment/>
      <protection/>
    </xf>
    <xf numFmtId="192" fontId="0" fillId="0" borderId="0" xfId="0" applyFont="1" applyFill="1" applyBorder="1" applyAlignment="1">
      <alignment/>
    </xf>
    <xf numFmtId="198" fontId="12" fillId="0" borderId="16" xfId="0" applyNumberFormat="1" applyFont="1" applyFill="1" applyBorder="1" applyAlignment="1" applyProtection="1">
      <alignment horizontal="center"/>
      <protection hidden="1"/>
    </xf>
    <xf numFmtId="192" fontId="20" fillId="0" borderId="14" xfId="0" applyNumberFormat="1" applyFont="1" applyFill="1" applyBorder="1" applyAlignment="1" applyProtection="1">
      <alignment/>
      <protection/>
    </xf>
    <xf numFmtId="192" fontId="17" fillId="0" borderId="0" xfId="0" applyNumberFormat="1" applyFont="1" applyBorder="1" applyAlignment="1" applyProtection="1">
      <alignment/>
      <protection locked="0"/>
    </xf>
    <xf numFmtId="0" fontId="4" fillId="0" borderId="14" xfId="0" applyNumberFormat="1" applyFont="1" applyBorder="1" applyAlignment="1" applyProtection="1">
      <alignment/>
      <protection locked="0"/>
    </xf>
    <xf numFmtId="0" fontId="4" fillId="0" borderId="14" xfId="0" applyNumberFormat="1" applyFont="1" applyBorder="1" applyAlignment="1" applyProtection="1">
      <alignment/>
      <protection/>
    </xf>
    <xf numFmtId="192" fontId="12" fillId="0" borderId="14" xfId="0" applyNumberFormat="1" applyFont="1" applyBorder="1" applyAlignment="1" applyProtection="1">
      <alignment horizontal="center"/>
      <protection hidden="1"/>
    </xf>
    <xf numFmtId="198" fontId="12" fillId="0" borderId="0" xfId="0" applyNumberFormat="1" applyFont="1" applyFill="1" applyBorder="1" applyAlignment="1" applyProtection="1" quotePrefix="1">
      <alignment horizontal="right"/>
      <protection hidden="1"/>
    </xf>
    <xf numFmtId="198" fontId="12" fillId="0" borderId="0" xfId="0" applyNumberFormat="1" applyFont="1" applyFill="1" applyBorder="1" applyAlignment="1" applyProtection="1">
      <alignment/>
      <protection hidden="1"/>
    </xf>
    <xf numFmtId="198" fontId="12" fillId="0" borderId="0" xfId="0" applyNumberFormat="1" applyFont="1" applyFill="1" applyBorder="1" applyAlignment="1" applyProtection="1">
      <alignment horizontal="right"/>
      <protection hidden="1"/>
    </xf>
    <xf numFmtId="192" fontId="4" fillId="0" borderId="18" xfId="0" applyFont="1" applyBorder="1" applyAlignment="1" applyProtection="1">
      <alignment/>
      <protection/>
    </xf>
    <xf numFmtId="192" fontId="4" fillId="0" borderId="20" xfId="0" applyFont="1" applyBorder="1" applyAlignment="1" applyProtection="1">
      <alignment/>
      <protection/>
    </xf>
    <xf numFmtId="192" fontId="4" fillId="0" borderId="16" xfId="0" applyFont="1" applyBorder="1" applyAlignment="1" applyProtection="1">
      <alignment/>
      <protection/>
    </xf>
    <xf numFmtId="192" fontId="12" fillId="0" borderId="16" xfId="0" applyFont="1" applyFill="1" applyBorder="1" applyAlignment="1" applyProtection="1">
      <alignment/>
      <protection/>
    </xf>
    <xf numFmtId="192" fontId="12" fillId="0" borderId="24" xfId="0" applyFont="1" applyFill="1" applyBorder="1" applyAlignment="1" applyProtection="1">
      <alignment/>
      <protection/>
    </xf>
    <xf numFmtId="192" fontId="0" fillId="0" borderId="24" xfId="0" applyBorder="1" applyAlignment="1" applyProtection="1">
      <alignment/>
      <protection/>
    </xf>
    <xf numFmtId="192" fontId="4" fillId="0" borderId="20" xfId="0" applyFont="1" applyBorder="1" applyAlignment="1" applyProtection="1" quotePrefix="1">
      <alignment horizontal="left"/>
      <protection/>
    </xf>
    <xf numFmtId="192" fontId="0" fillId="0" borderId="0" xfId="0" applyAlignment="1" applyProtection="1">
      <alignment/>
      <protection/>
    </xf>
    <xf numFmtId="192" fontId="24" fillId="0" borderId="10" xfId="0" applyFont="1" applyBorder="1" applyAlignment="1" applyProtection="1">
      <alignment/>
      <protection/>
    </xf>
    <xf numFmtId="192" fontId="12" fillId="0" borderId="14" xfId="0" applyFont="1" applyBorder="1" applyAlignment="1" applyProtection="1">
      <alignment/>
      <protection/>
    </xf>
    <xf numFmtId="0" fontId="0" fillId="0" borderId="0" xfId="0" applyNumberFormat="1" applyAlignment="1" applyProtection="1">
      <alignment/>
      <protection/>
    </xf>
    <xf numFmtId="0" fontId="24" fillId="0" borderId="10" xfId="0" applyNumberFormat="1" applyFont="1" applyBorder="1" applyAlignment="1" applyProtection="1">
      <alignment/>
      <protection/>
    </xf>
    <xf numFmtId="0" fontId="12" fillId="0" borderId="14" xfId="0" applyNumberFormat="1" applyFont="1" applyBorder="1" applyAlignment="1" applyProtection="1">
      <alignment/>
      <protection/>
    </xf>
    <xf numFmtId="0" fontId="12" fillId="0" borderId="20" xfId="0" applyNumberFormat="1" applyFont="1" applyBorder="1" applyAlignment="1" applyProtection="1">
      <alignment/>
      <protection/>
    </xf>
    <xf numFmtId="197" fontId="12" fillId="0" borderId="13" xfId="0" applyNumberFormat="1" applyFont="1" applyFill="1" applyBorder="1" applyAlignment="1" applyProtection="1">
      <alignment/>
      <protection hidden="1"/>
    </xf>
    <xf numFmtId="197" fontId="12" fillId="0" borderId="24" xfId="0" applyNumberFormat="1" applyFont="1" applyFill="1" applyBorder="1" applyAlignment="1" applyProtection="1">
      <alignment/>
      <protection hidden="1"/>
    </xf>
    <xf numFmtId="197" fontId="12" fillId="0" borderId="16" xfId="0" applyNumberFormat="1" applyFont="1" applyFill="1" applyBorder="1" applyAlignment="1" applyProtection="1">
      <alignment/>
      <protection hidden="1"/>
    </xf>
    <xf numFmtId="197" fontId="12" fillId="0" borderId="23" xfId="0" applyNumberFormat="1" applyFont="1" applyFill="1" applyBorder="1" applyAlignment="1" applyProtection="1">
      <alignment/>
      <protection hidden="1"/>
    </xf>
    <xf numFmtId="192" fontId="12" fillId="0" borderId="23" xfId="0" applyFont="1" applyBorder="1" applyAlignment="1" applyProtection="1">
      <alignment/>
      <protection hidden="1"/>
    </xf>
    <xf numFmtId="192" fontId="12" fillId="0" borderId="13" xfId="0" applyFont="1" applyBorder="1" applyAlignment="1" applyProtection="1">
      <alignment horizontal="center"/>
      <protection hidden="1"/>
    </xf>
    <xf numFmtId="192" fontId="12" fillId="0" borderId="0" xfId="0" applyFont="1" applyFill="1" applyBorder="1" applyAlignment="1" applyProtection="1">
      <alignment/>
      <protection hidden="1"/>
    </xf>
    <xf numFmtId="198" fontId="12" fillId="0" borderId="13" xfId="0" applyNumberFormat="1" applyFont="1" applyBorder="1" applyAlignment="1" applyProtection="1">
      <alignment horizontal="center"/>
      <protection hidden="1"/>
    </xf>
    <xf numFmtId="192" fontId="12" fillId="0" borderId="0" xfId="0" applyFont="1" applyBorder="1" applyAlignment="1" applyProtection="1">
      <alignment horizontal="left"/>
      <protection hidden="1"/>
    </xf>
    <xf numFmtId="198" fontId="12" fillId="0" borderId="16" xfId="0" applyNumberFormat="1" applyFont="1" applyBorder="1" applyAlignment="1" applyProtection="1">
      <alignment horizontal="center"/>
      <protection hidden="1"/>
    </xf>
    <xf numFmtId="198" fontId="12" fillId="0" borderId="24" xfId="0" applyNumberFormat="1" applyFont="1" applyBorder="1" applyAlignment="1" applyProtection="1">
      <alignment horizontal="center"/>
      <protection hidden="1"/>
    </xf>
    <xf numFmtId="0" fontId="12" fillId="0" borderId="23" xfId="0" applyNumberFormat="1" applyFont="1" applyBorder="1" applyAlignment="1" applyProtection="1">
      <alignment/>
      <protection hidden="1"/>
    </xf>
    <xf numFmtId="0" fontId="12" fillId="0" borderId="22" xfId="0" applyNumberFormat="1" applyFont="1" applyBorder="1" applyAlignment="1" applyProtection="1">
      <alignment horizontal="center"/>
      <protection hidden="1"/>
    </xf>
    <xf numFmtId="2" fontId="12" fillId="0" borderId="16" xfId="0" applyNumberFormat="1" applyFont="1" applyBorder="1" applyAlignment="1" applyProtection="1">
      <alignment horizontal="center"/>
      <protection hidden="1"/>
    </xf>
    <xf numFmtId="192" fontId="12" fillId="0" borderId="21" xfId="0" applyNumberFormat="1" applyFont="1" applyFill="1" applyBorder="1" applyAlignment="1" applyProtection="1">
      <alignment/>
      <protection hidden="1"/>
    </xf>
    <xf numFmtId="2" fontId="12" fillId="0" borderId="24" xfId="0" applyNumberFormat="1" applyFont="1" applyBorder="1" applyAlignment="1" applyProtection="1">
      <alignment horizontal="center"/>
      <protection hidden="1"/>
    </xf>
    <xf numFmtId="192" fontId="13" fillId="0" borderId="22" xfId="0" applyNumberFormat="1" applyFont="1" applyBorder="1" applyAlignment="1" applyProtection="1">
      <alignment horizontal="center"/>
      <protection locked="0"/>
    </xf>
    <xf numFmtId="192" fontId="12" fillId="0" borderId="48" xfId="0" applyNumberFormat="1" applyFont="1" applyFill="1" applyBorder="1" applyAlignment="1" applyProtection="1">
      <alignment horizontal="left"/>
      <protection/>
    </xf>
    <xf numFmtId="192" fontId="13" fillId="0" borderId="13" xfId="0" applyNumberFormat="1" applyFont="1" applyBorder="1" applyAlignment="1" applyProtection="1">
      <alignment/>
      <protection/>
    </xf>
    <xf numFmtId="192" fontId="4" fillId="0" borderId="13" xfId="0" applyFont="1" applyBorder="1" applyAlignment="1" applyProtection="1">
      <alignment horizontal="center"/>
      <protection/>
    </xf>
    <xf numFmtId="192" fontId="18" fillId="0" borderId="30" xfId="0" applyNumberFormat="1" applyFont="1" applyFill="1" applyBorder="1" applyAlignment="1" applyProtection="1">
      <alignment/>
      <protection/>
    </xf>
    <xf numFmtId="192" fontId="4" fillId="0" borderId="24" xfId="0" applyNumberFormat="1" applyFont="1" applyBorder="1" applyAlignment="1" applyProtection="1">
      <alignment horizontal="center"/>
      <protection/>
    </xf>
    <xf numFmtId="192" fontId="13" fillId="0" borderId="55" xfId="0" applyNumberFormat="1" applyFont="1" applyBorder="1" applyAlignment="1" applyProtection="1">
      <alignment/>
      <protection/>
    </xf>
    <xf numFmtId="192" fontId="4" fillId="0" borderId="72" xfId="0" applyNumberFormat="1" applyFont="1" applyBorder="1" applyAlignment="1" applyProtection="1">
      <alignment horizontal="center"/>
      <protection/>
    </xf>
    <xf numFmtId="192" fontId="13" fillId="0" borderId="70" xfId="0" applyNumberFormat="1" applyFont="1" applyBorder="1" applyAlignment="1" applyProtection="1">
      <alignment/>
      <protection/>
    </xf>
    <xf numFmtId="192" fontId="20" fillId="0" borderId="13" xfId="0" applyNumberFormat="1" applyFont="1" applyFill="1" applyBorder="1" applyAlignment="1" applyProtection="1">
      <alignment/>
      <protection/>
    </xf>
    <xf numFmtId="192" fontId="20" fillId="0" borderId="13" xfId="0" applyNumberFormat="1" applyFont="1" applyBorder="1" applyAlignment="1" applyProtection="1">
      <alignment/>
      <protection/>
    </xf>
    <xf numFmtId="192" fontId="13" fillId="0" borderId="13" xfId="0" applyNumberFormat="1" applyFont="1" applyBorder="1" applyAlignment="1" applyProtection="1">
      <alignment/>
      <protection/>
    </xf>
    <xf numFmtId="192" fontId="12" fillId="0" borderId="0" xfId="0" applyFont="1" applyFill="1" applyBorder="1" applyAlignment="1" applyProtection="1">
      <alignment horizontal="left"/>
      <protection/>
    </xf>
    <xf numFmtId="192" fontId="4" fillId="35" borderId="18" xfId="0" applyFont="1" applyFill="1" applyBorder="1" applyAlignment="1">
      <alignment/>
    </xf>
    <xf numFmtId="192" fontId="4" fillId="35" borderId="16" xfId="0" applyFont="1" applyFill="1" applyBorder="1" applyAlignment="1">
      <alignment/>
    </xf>
    <xf numFmtId="192" fontId="4" fillId="35" borderId="20" xfId="0" applyFont="1" applyFill="1" applyBorder="1" applyAlignment="1">
      <alignment/>
    </xf>
    <xf numFmtId="192" fontId="40" fillId="0" borderId="51" xfId="0" applyFont="1" applyBorder="1" applyAlignment="1" applyProtection="1">
      <alignment/>
      <protection hidden="1"/>
    </xf>
    <xf numFmtId="192" fontId="36" fillId="0" borderId="56" xfId="0" applyFont="1" applyBorder="1" applyAlignment="1" applyProtection="1">
      <alignment/>
      <protection hidden="1"/>
    </xf>
    <xf numFmtId="192" fontId="36" fillId="0" borderId="24" xfId="0" applyFont="1" applyBorder="1" applyAlignment="1" applyProtection="1">
      <alignment horizontal="center"/>
      <protection hidden="1"/>
    </xf>
    <xf numFmtId="192" fontId="37" fillId="0" borderId="22" xfId="0" applyFont="1" applyBorder="1" applyAlignment="1" applyProtection="1">
      <alignment/>
      <protection hidden="1"/>
    </xf>
    <xf numFmtId="192" fontId="36" fillId="0" borderId="16" xfId="0" applyFont="1" applyBorder="1" applyAlignment="1" applyProtection="1">
      <alignment horizontal="center"/>
      <protection hidden="1"/>
    </xf>
    <xf numFmtId="192" fontId="37" fillId="0" borderId="16" xfId="0" applyFont="1" applyBorder="1" applyAlignment="1" applyProtection="1">
      <alignment horizontal="center"/>
      <protection hidden="1"/>
    </xf>
    <xf numFmtId="9" fontId="36" fillId="0" borderId="24" xfId="68" applyFont="1" applyBorder="1" applyAlignment="1" applyProtection="1">
      <alignment/>
      <protection hidden="1"/>
    </xf>
    <xf numFmtId="213" fontId="36" fillId="0" borderId="70" xfId="0" applyNumberFormat="1" applyFont="1" applyBorder="1" applyAlignment="1" applyProtection="1">
      <alignment/>
      <protection hidden="1"/>
    </xf>
    <xf numFmtId="213" fontId="36" fillId="0" borderId="73" xfId="0" applyNumberFormat="1" applyFont="1" applyBorder="1" applyAlignment="1" applyProtection="1">
      <alignment/>
      <protection hidden="1"/>
    </xf>
    <xf numFmtId="192" fontId="37" fillId="0" borderId="72" xfId="0" applyFont="1" applyBorder="1" applyAlignment="1" applyProtection="1">
      <alignment/>
      <protection hidden="1"/>
    </xf>
    <xf numFmtId="204" fontId="53" fillId="0" borderId="0" xfId="0" applyNumberFormat="1" applyFont="1" applyBorder="1" applyAlignment="1" applyProtection="1">
      <alignment horizontal="center"/>
      <protection hidden="1"/>
    </xf>
    <xf numFmtId="204" fontId="58" fillId="0" borderId="0" xfId="0" applyNumberFormat="1" applyFont="1" applyFill="1" applyBorder="1" applyAlignment="1" applyProtection="1" quotePrefix="1">
      <alignment horizontal="left"/>
      <protection hidden="1"/>
    </xf>
    <xf numFmtId="204" fontId="58" fillId="0" borderId="0" xfId="0" applyNumberFormat="1" applyFont="1" applyBorder="1" applyAlignment="1" applyProtection="1" quotePrefix="1">
      <alignment horizontal="left"/>
      <protection hidden="1"/>
    </xf>
    <xf numFmtId="204" fontId="53" fillId="0" borderId="0" xfId="0" applyNumberFormat="1" applyFont="1" applyFill="1" applyBorder="1" applyAlignment="1" applyProtection="1">
      <alignment horizontal="center"/>
      <protection hidden="1"/>
    </xf>
    <xf numFmtId="204" fontId="53" fillId="0" borderId="0" xfId="0" applyNumberFormat="1" applyFont="1" applyFill="1" applyBorder="1" applyAlignment="1" applyProtection="1" quotePrefix="1">
      <alignment horizontal="left"/>
      <protection hidden="1"/>
    </xf>
    <xf numFmtId="204" fontId="53" fillId="0" borderId="0" xfId="0" applyNumberFormat="1" applyFont="1" applyFill="1" applyBorder="1" applyAlignment="1" applyProtection="1">
      <alignment/>
      <protection hidden="1"/>
    </xf>
    <xf numFmtId="204" fontId="53" fillId="0" borderId="0" xfId="0" applyNumberFormat="1" applyFont="1" applyFill="1" applyBorder="1" applyAlignment="1" applyProtection="1">
      <alignment horizontal="right"/>
      <protection hidden="1"/>
    </xf>
    <xf numFmtId="204" fontId="53" fillId="0" borderId="0" xfId="0" applyNumberFormat="1" applyFont="1" applyFill="1" applyBorder="1" applyAlignment="1" applyProtection="1">
      <alignment horizontal="left"/>
      <protection hidden="1"/>
    </xf>
    <xf numFmtId="204" fontId="58" fillId="0" borderId="0" xfId="0" applyNumberFormat="1" applyFont="1" applyFill="1" applyBorder="1" applyAlignment="1" applyProtection="1">
      <alignment/>
      <protection hidden="1"/>
    </xf>
    <xf numFmtId="204" fontId="58" fillId="0" borderId="0" xfId="0" applyNumberFormat="1" applyFont="1" applyFill="1" applyBorder="1" applyAlignment="1" applyProtection="1" quotePrefix="1">
      <alignment horizontal="center"/>
      <protection hidden="1"/>
    </xf>
    <xf numFmtId="204" fontId="58" fillId="0" borderId="0" xfId="0" applyNumberFormat="1" applyFont="1" applyFill="1" applyBorder="1" applyAlignment="1" applyProtection="1">
      <alignment/>
      <protection hidden="1"/>
    </xf>
    <xf numFmtId="204" fontId="53" fillId="0" borderId="0" xfId="0" applyNumberFormat="1" applyFont="1" applyBorder="1" applyAlignment="1" applyProtection="1" quotePrefix="1">
      <alignment horizontal="center"/>
      <protection hidden="1"/>
    </xf>
    <xf numFmtId="204" fontId="53" fillId="0" borderId="0" xfId="68" applyNumberFormat="1" applyFont="1" applyFill="1" applyBorder="1" applyAlignment="1" applyProtection="1">
      <alignment horizontal="right"/>
      <protection hidden="1"/>
    </xf>
    <xf numFmtId="204" fontId="53" fillId="0" borderId="0" xfId="0" applyNumberFormat="1" applyFont="1" applyFill="1" applyBorder="1" applyAlignment="1" applyProtection="1">
      <alignment/>
      <protection hidden="1"/>
    </xf>
    <xf numFmtId="204" fontId="53" fillId="0" borderId="0" xfId="68" applyNumberFormat="1" applyFont="1" applyBorder="1" applyAlignment="1" applyProtection="1">
      <alignment/>
      <protection hidden="1"/>
    </xf>
    <xf numFmtId="204" fontId="58" fillId="0" borderId="0" xfId="0" applyNumberFormat="1" applyFont="1" applyFill="1" applyBorder="1" applyAlignment="1" applyProtection="1">
      <alignment horizontal="right"/>
      <protection hidden="1"/>
    </xf>
    <xf numFmtId="204" fontId="53" fillId="0" borderId="0" xfId="0" applyNumberFormat="1" applyFont="1" applyBorder="1" applyAlignment="1" applyProtection="1" quotePrefix="1">
      <alignment horizontal="left"/>
      <protection hidden="1"/>
    </xf>
    <xf numFmtId="204" fontId="58" fillId="0" borderId="0" xfId="0" applyNumberFormat="1" applyFont="1" applyFill="1" applyBorder="1" applyAlignment="1" applyProtection="1" quotePrefix="1">
      <alignment horizontal="centerContinuous"/>
      <protection hidden="1"/>
    </xf>
    <xf numFmtId="204" fontId="53" fillId="0" borderId="0" xfId="0" applyNumberFormat="1" applyFont="1" applyFill="1" applyBorder="1" applyAlignment="1" applyProtection="1" quotePrefix="1">
      <alignment horizontal="centerContinuous"/>
      <protection hidden="1"/>
    </xf>
    <xf numFmtId="204" fontId="58" fillId="0" borderId="0" xfId="0" applyNumberFormat="1" applyFont="1" applyFill="1" applyBorder="1" applyAlignment="1" applyProtection="1">
      <alignment horizontal="centerContinuous"/>
      <protection hidden="1"/>
    </xf>
    <xf numFmtId="204" fontId="58" fillId="0" borderId="0" xfId="0" applyNumberFormat="1" applyFont="1" applyFill="1" applyBorder="1" applyAlignment="1" applyProtection="1">
      <alignment horizontal="center"/>
      <protection hidden="1"/>
    </xf>
    <xf numFmtId="204" fontId="53" fillId="0" borderId="0" xfId="0" applyNumberFormat="1" applyFont="1" applyBorder="1" applyAlignment="1" applyProtection="1">
      <alignment horizontal="centerContinuous"/>
      <protection hidden="1"/>
    </xf>
    <xf numFmtId="204" fontId="58" fillId="0" borderId="0" xfId="0" applyNumberFormat="1" applyFont="1" applyFill="1" applyBorder="1" applyAlignment="1" applyProtection="1">
      <alignment horizontal="left"/>
      <protection hidden="1"/>
    </xf>
    <xf numFmtId="204" fontId="53" fillId="0" borderId="0" xfId="0" applyNumberFormat="1" applyFont="1" applyFill="1" applyBorder="1" applyAlignment="1" applyProtection="1" quotePrefix="1">
      <alignment horizontal="center"/>
      <protection hidden="1"/>
    </xf>
    <xf numFmtId="204" fontId="53" fillId="0" borderId="0" xfId="0" applyNumberFormat="1" applyFont="1" applyBorder="1" applyAlignment="1" applyProtection="1">
      <alignment horizontal="right"/>
      <protection hidden="1"/>
    </xf>
    <xf numFmtId="204" fontId="53" fillId="0" borderId="0" xfId="68" applyNumberFormat="1" applyFont="1" applyFill="1" applyBorder="1" applyAlignment="1" applyProtection="1">
      <alignment/>
      <protection hidden="1"/>
    </xf>
    <xf numFmtId="204" fontId="53" fillId="0" borderId="0" xfId="0" applyNumberFormat="1" applyFont="1" applyBorder="1" applyAlignment="1" applyProtection="1">
      <alignment horizontal="left"/>
      <protection hidden="1"/>
    </xf>
    <xf numFmtId="204" fontId="53" fillId="0" borderId="0" xfId="0" applyNumberFormat="1" applyFont="1" applyBorder="1" applyAlignment="1" applyProtection="1" quotePrefix="1">
      <alignment horizontal="right"/>
      <protection hidden="1"/>
    </xf>
    <xf numFmtId="0" fontId="25" fillId="0" borderId="0" xfId="0" applyNumberFormat="1" applyFont="1" applyAlignment="1">
      <alignment/>
    </xf>
    <xf numFmtId="2" fontId="12" fillId="0" borderId="14" xfId="0" applyNumberFormat="1" applyFont="1" applyFill="1" applyBorder="1" applyAlignment="1" applyProtection="1" quotePrefix="1">
      <alignment horizontal="left"/>
      <protection/>
    </xf>
    <xf numFmtId="2" fontId="12" fillId="0" borderId="14" xfId="0" applyNumberFormat="1" applyFont="1" applyFill="1" applyBorder="1" applyAlignment="1" applyProtection="1">
      <alignment/>
      <protection/>
    </xf>
    <xf numFmtId="204" fontId="53" fillId="0" borderId="0" xfId="0" applyNumberFormat="1" applyFont="1" applyAlignment="1" applyProtection="1">
      <alignment/>
      <protection hidden="1"/>
    </xf>
    <xf numFmtId="204" fontId="59" fillId="0" borderId="0" xfId="0" applyNumberFormat="1" applyFont="1" applyBorder="1" applyAlignment="1" applyProtection="1">
      <alignment horizontal="center"/>
      <protection hidden="1"/>
    </xf>
    <xf numFmtId="192" fontId="13" fillId="0" borderId="19" xfId="0" applyNumberFormat="1" applyFont="1" applyFill="1" applyBorder="1" applyAlignment="1" applyProtection="1">
      <alignment horizontal="fill"/>
      <protection/>
    </xf>
    <xf numFmtId="192" fontId="13" fillId="0" borderId="19" xfId="0" applyNumberFormat="1" applyFont="1" applyBorder="1" applyAlignment="1" applyProtection="1">
      <alignment horizontal="center"/>
      <protection/>
    </xf>
    <xf numFmtId="192" fontId="13" fillId="0" borderId="21" xfId="0" applyNumberFormat="1" applyFont="1" applyFill="1" applyBorder="1" applyAlignment="1" applyProtection="1">
      <alignment horizontal="fill"/>
      <protection/>
    </xf>
    <xf numFmtId="192" fontId="13" fillId="0" borderId="21" xfId="0" applyNumberFormat="1" applyFont="1" applyBorder="1" applyAlignment="1" applyProtection="1">
      <alignment horizontal="center"/>
      <protection/>
    </xf>
    <xf numFmtId="192" fontId="13" fillId="0" borderId="59" xfId="0" applyNumberFormat="1" applyFont="1" applyBorder="1" applyAlignment="1" applyProtection="1">
      <alignment/>
      <protection/>
    </xf>
    <xf numFmtId="192" fontId="13" fillId="0" borderId="59" xfId="0" applyNumberFormat="1" applyFont="1" applyBorder="1" applyAlignment="1" applyProtection="1">
      <alignment horizontal="left"/>
      <protection/>
    </xf>
    <xf numFmtId="192" fontId="4" fillId="0" borderId="21" xfId="0" applyNumberFormat="1" applyFont="1" applyFill="1" applyBorder="1" applyAlignment="1" applyProtection="1">
      <alignment horizontal="left"/>
      <protection/>
    </xf>
    <xf numFmtId="192" fontId="4" fillId="0" borderId="21" xfId="0" applyFont="1" applyFill="1" applyBorder="1" applyAlignment="1" applyProtection="1">
      <alignment/>
      <protection/>
    </xf>
    <xf numFmtId="192" fontId="4" fillId="0" borderId="59" xfId="0" applyFont="1" applyBorder="1" applyAlignment="1" applyProtection="1">
      <alignment/>
      <protection/>
    </xf>
    <xf numFmtId="192" fontId="13" fillId="0" borderId="31" xfId="0" applyNumberFormat="1" applyFont="1" applyFill="1" applyBorder="1" applyAlignment="1" applyProtection="1">
      <alignment/>
      <protection/>
    </xf>
    <xf numFmtId="192" fontId="4" fillId="0" borderId="31" xfId="0" applyFont="1" applyFill="1" applyBorder="1" applyAlignment="1" applyProtection="1">
      <alignment/>
      <protection/>
    </xf>
    <xf numFmtId="192" fontId="4" fillId="0" borderId="55" xfId="0" applyFont="1" applyFill="1" applyBorder="1" applyAlignment="1" applyProtection="1">
      <alignment/>
      <protection/>
    </xf>
    <xf numFmtId="192" fontId="4" fillId="35" borderId="28" xfId="0" applyFont="1" applyFill="1" applyBorder="1" applyAlignment="1" applyProtection="1">
      <alignment/>
      <protection/>
    </xf>
    <xf numFmtId="192" fontId="4" fillId="0" borderId="60" xfId="0" applyFont="1" applyBorder="1" applyAlignment="1" applyProtection="1">
      <alignment horizontal="center"/>
      <protection/>
    </xf>
    <xf numFmtId="192" fontId="4" fillId="0" borderId="82" xfId="0" applyFont="1" applyBorder="1" applyAlignment="1" applyProtection="1">
      <alignment/>
      <protection/>
    </xf>
    <xf numFmtId="192" fontId="4" fillId="0" borderId="79" xfId="0" applyFont="1" applyBorder="1" applyAlignment="1" applyProtection="1">
      <alignment horizontal="center"/>
      <protection/>
    </xf>
    <xf numFmtId="192" fontId="4" fillId="35" borderId="22" xfId="0" applyFont="1" applyFill="1" applyBorder="1" applyAlignment="1" applyProtection="1">
      <alignment/>
      <protection/>
    </xf>
    <xf numFmtId="192" fontId="4" fillId="35" borderId="31" xfId="0" applyFont="1" applyFill="1" applyBorder="1" applyAlignment="1" applyProtection="1">
      <alignment/>
      <protection/>
    </xf>
    <xf numFmtId="192" fontId="1" fillId="35" borderId="42" xfId="0" applyFont="1" applyFill="1" applyBorder="1" applyAlignment="1" applyProtection="1">
      <alignment/>
      <protection/>
    </xf>
    <xf numFmtId="192" fontId="4" fillId="35" borderId="23" xfId="0" applyFont="1" applyFill="1" applyBorder="1" applyAlignment="1" applyProtection="1">
      <alignment horizontal="center"/>
      <protection/>
    </xf>
    <xf numFmtId="192" fontId="4" fillId="35" borderId="10" xfId="0" applyFont="1" applyFill="1" applyBorder="1" applyAlignment="1" applyProtection="1">
      <alignment horizontal="center"/>
      <protection/>
    </xf>
    <xf numFmtId="192" fontId="4" fillId="35" borderId="20" xfId="0" applyFont="1" applyFill="1" applyBorder="1" applyAlignment="1" applyProtection="1">
      <alignment/>
      <protection/>
    </xf>
    <xf numFmtId="192" fontId="4" fillId="35" borderId="71" xfId="0" applyFont="1" applyFill="1" applyBorder="1" applyAlignment="1" applyProtection="1">
      <alignment horizontal="center"/>
      <protection/>
    </xf>
    <xf numFmtId="192" fontId="4" fillId="35" borderId="77" xfId="0" applyFont="1" applyFill="1" applyBorder="1" applyAlignment="1" applyProtection="1">
      <alignment horizontal="center"/>
      <protection/>
    </xf>
    <xf numFmtId="192" fontId="4" fillId="35" borderId="83" xfId="0" applyFont="1" applyFill="1" applyBorder="1" applyAlignment="1" applyProtection="1">
      <alignment horizontal="center"/>
      <protection/>
    </xf>
    <xf numFmtId="192" fontId="4" fillId="35" borderId="47" xfId="0" applyFont="1" applyFill="1" applyBorder="1" applyAlignment="1" applyProtection="1">
      <alignment horizontal="center"/>
      <protection/>
    </xf>
    <xf numFmtId="192" fontId="4" fillId="35" borderId="49" xfId="0" applyFont="1" applyFill="1" applyBorder="1" applyAlignment="1" applyProtection="1">
      <alignment horizontal="center"/>
      <protection/>
    </xf>
    <xf numFmtId="192" fontId="4" fillId="35" borderId="80" xfId="0" applyFont="1" applyFill="1" applyBorder="1" applyAlignment="1" applyProtection="1">
      <alignment horizontal="center"/>
      <protection/>
    </xf>
    <xf numFmtId="192" fontId="4" fillId="35" borderId="58" xfId="0" applyFont="1" applyFill="1" applyBorder="1" applyAlignment="1" applyProtection="1">
      <alignment/>
      <protection/>
    </xf>
    <xf numFmtId="192" fontId="4" fillId="35" borderId="60" xfId="0" applyFont="1" applyFill="1" applyBorder="1" applyAlignment="1" applyProtection="1">
      <alignment horizontal="center"/>
      <protection/>
    </xf>
    <xf numFmtId="192" fontId="1" fillId="0" borderId="35" xfId="0" applyNumberFormat="1" applyFont="1" applyBorder="1" applyAlignment="1" applyProtection="1">
      <alignment horizontal="center"/>
      <protection/>
    </xf>
    <xf numFmtId="192" fontId="4" fillId="0" borderId="84" xfId="0" applyNumberFormat="1" applyFont="1" applyBorder="1" applyAlignment="1" applyProtection="1">
      <alignment horizontal="center"/>
      <protection/>
    </xf>
    <xf numFmtId="192" fontId="47" fillId="0" borderId="29" xfId="0" applyNumberFormat="1" applyFont="1" applyBorder="1" applyAlignment="1" applyProtection="1">
      <alignment horizontal="center"/>
      <protection/>
    </xf>
    <xf numFmtId="192" fontId="1" fillId="0" borderId="28" xfId="0" applyFont="1" applyBorder="1" applyAlignment="1" applyProtection="1">
      <alignment horizontal="center"/>
      <protection/>
    </xf>
    <xf numFmtId="192" fontId="1" fillId="0" borderId="28" xfId="0" applyFont="1" applyBorder="1" applyAlignment="1" applyProtection="1" quotePrefix="1">
      <alignment horizontal="center"/>
      <protection/>
    </xf>
    <xf numFmtId="192" fontId="4" fillId="0" borderId="22" xfId="0" applyFont="1" applyFill="1" applyBorder="1" applyAlignment="1" applyProtection="1">
      <alignment horizontal="centerContinuous"/>
      <protection/>
    </xf>
    <xf numFmtId="192" fontId="4" fillId="0" borderId="55" xfId="0" applyFont="1" applyBorder="1" applyAlignment="1" applyProtection="1">
      <alignment horizontal="center"/>
      <protection/>
    </xf>
    <xf numFmtId="192" fontId="12" fillId="0" borderId="0" xfId="0" applyNumberFormat="1" applyFont="1" applyFill="1" applyBorder="1" applyAlignment="1" applyProtection="1" quotePrefix="1">
      <alignment horizontal="left"/>
      <protection/>
    </xf>
    <xf numFmtId="192" fontId="12" fillId="0" borderId="0" xfId="0" applyFont="1" applyFill="1" applyBorder="1" applyAlignment="1" applyProtection="1">
      <alignment/>
      <protection/>
    </xf>
    <xf numFmtId="192" fontId="4" fillId="0" borderId="0" xfId="0" applyFont="1" applyFill="1" applyBorder="1" applyAlignment="1" applyProtection="1">
      <alignment horizontal="center"/>
      <protection/>
    </xf>
    <xf numFmtId="192" fontId="4" fillId="0" borderId="0" xfId="0" applyFont="1" applyFill="1" applyBorder="1" applyAlignment="1" applyProtection="1" quotePrefix="1">
      <alignment horizontal="centerContinuous"/>
      <protection/>
    </xf>
    <xf numFmtId="192" fontId="4" fillId="0" borderId="0" xfId="0" applyFont="1" applyFill="1" applyBorder="1" applyAlignment="1" applyProtection="1" quotePrefix="1">
      <alignment horizontal="left"/>
      <protection/>
    </xf>
    <xf numFmtId="192" fontId="1" fillId="0" borderId="0" xfId="0" applyFont="1" applyFill="1" applyBorder="1" applyAlignment="1" applyProtection="1">
      <alignment horizontal="centerContinuous"/>
      <protection/>
    </xf>
    <xf numFmtId="192" fontId="4" fillId="0" borderId="0" xfId="0" applyFont="1" applyFill="1" applyBorder="1" applyAlignment="1" applyProtection="1">
      <alignment horizontal="centerContinuous"/>
      <protection/>
    </xf>
    <xf numFmtId="192" fontId="4" fillId="0" borderId="0" xfId="0" applyFont="1" applyFill="1" applyBorder="1" applyAlignment="1" applyProtection="1">
      <alignment horizontal="left"/>
      <protection/>
    </xf>
    <xf numFmtId="10" fontId="4" fillId="0" borderId="0" xfId="0" applyNumberFormat="1" applyFont="1" applyFill="1" applyBorder="1" applyAlignment="1" applyProtection="1">
      <alignment/>
      <protection/>
    </xf>
    <xf numFmtId="192" fontId="1" fillId="0" borderId="0" xfId="0" applyFont="1" applyFill="1" applyBorder="1" applyAlignment="1" applyProtection="1" quotePrefix="1">
      <alignment horizontal="left"/>
      <protection/>
    </xf>
    <xf numFmtId="192" fontId="12" fillId="0" borderId="53" xfId="0" applyNumberFormat="1" applyFont="1" applyFill="1" applyBorder="1" applyAlignment="1" applyProtection="1" quotePrefix="1">
      <alignment horizontal="right"/>
      <protection/>
    </xf>
    <xf numFmtId="192" fontId="4" fillId="0" borderId="18" xfId="0" applyFont="1" applyBorder="1" applyAlignment="1" applyProtection="1">
      <alignment horizontal="center"/>
      <protection/>
    </xf>
    <xf numFmtId="192" fontId="12" fillId="0" borderId="54" xfId="0" applyNumberFormat="1" applyFont="1" applyFill="1" applyBorder="1" applyAlignment="1" applyProtection="1" quotePrefix="1">
      <alignment horizontal="left"/>
      <protection/>
    </xf>
    <xf numFmtId="192" fontId="4" fillId="0" borderId="79" xfId="0" applyFont="1" applyBorder="1" applyAlignment="1" applyProtection="1">
      <alignment/>
      <protection/>
    </xf>
    <xf numFmtId="192" fontId="4" fillId="35" borderId="52" xfId="0" applyFont="1" applyFill="1" applyBorder="1" applyAlignment="1" applyProtection="1">
      <alignment horizontal="center"/>
      <protection/>
    </xf>
    <xf numFmtId="192" fontId="1" fillId="0" borderId="0" xfId="0" applyFont="1" applyAlignment="1" applyProtection="1">
      <alignment horizontal="left"/>
      <protection/>
    </xf>
    <xf numFmtId="192" fontId="12" fillId="35" borderId="50" xfId="0" applyNumberFormat="1" applyFont="1" applyFill="1" applyBorder="1" applyAlignment="1" applyProtection="1">
      <alignment/>
      <protection/>
    </xf>
    <xf numFmtId="192" fontId="4" fillId="35" borderId="31" xfId="0" applyFont="1" applyFill="1" applyBorder="1" applyAlignment="1" applyProtection="1">
      <alignment horizontal="center"/>
      <protection/>
    </xf>
    <xf numFmtId="192" fontId="3" fillId="35" borderId="71" xfId="0" applyFont="1" applyFill="1" applyBorder="1" applyAlignment="1" applyProtection="1">
      <alignment horizontal="left"/>
      <protection/>
    </xf>
    <xf numFmtId="192" fontId="2" fillId="35" borderId="68" xfId="0" applyFont="1" applyFill="1" applyBorder="1" applyAlignment="1" applyProtection="1">
      <alignment/>
      <protection/>
    </xf>
    <xf numFmtId="192" fontId="2" fillId="35" borderId="69" xfId="0" applyFont="1" applyFill="1" applyBorder="1" applyAlignment="1" applyProtection="1">
      <alignment/>
      <protection/>
    </xf>
    <xf numFmtId="192" fontId="3" fillId="35" borderId="39" xfId="0" applyFont="1" applyFill="1" applyBorder="1" applyAlignment="1" applyProtection="1">
      <alignment horizontal="left"/>
      <protection/>
    </xf>
    <xf numFmtId="192" fontId="2" fillId="35" borderId="40" xfId="0" applyFont="1" applyFill="1" applyBorder="1" applyAlignment="1" applyProtection="1">
      <alignment/>
      <protection/>
    </xf>
    <xf numFmtId="192" fontId="2" fillId="35" borderId="41" xfId="0" applyFont="1" applyFill="1" applyBorder="1" applyAlignment="1" applyProtection="1">
      <alignment/>
      <protection/>
    </xf>
    <xf numFmtId="192" fontId="12" fillId="0" borderId="54" xfId="0" applyFont="1" applyFill="1" applyBorder="1" applyAlignment="1" applyProtection="1">
      <alignment/>
      <protection/>
    </xf>
    <xf numFmtId="192" fontId="20" fillId="0" borderId="33" xfId="0" applyFont="1" applyFill="1" applyBorder="1" applyAlignment="1" applyProtection="1">
      <alignment horizontal="right"/>
      <protection/>
    </xf>
    <xf numFmtId="192" fontId="12" fillId="35" borderId="22" xfId="0" applyNumberFormat="1" applyFont="1" applyFill="1" applyBorder="1" applyAlignment="1" applyProtection="1">
      <alignment/>
      <protection/>
    </xf>
    <xf numFmtId="192" fontId="12" fillId="35" borderId="31" xfId="0" applyNumberFormat="1" applyFont="1" applyFill="1" applyBorder="1" applyAlignment="1" applyProtection="1">
      <alignment/>
      <protection/>
    </xf>
    <xf numFmtId="192" fontId="20" fillId="35" borderId="19" xfId="0" applyNumberFormat="1" applyFont="1" applyFill="1" applyBorder="1" applyAlignment="1" applyProtection="1">
      <alignment/>
      <protection/>
    </xf>
    <xf numFmtId="192" fontId="20" fillId="35" borderId="43" xfId="0" applyNumberFormat="1" applyFont="1" applyFill="1" applyBorder="1" applyAlignment="1" applyProtection="1">
      <alignment/>
      <protection/>
    </xf>
    <xf numFmtId="192" fontId="12" fillId="35" borderId="22" xfId="0" applyNumberFormat="1" applyFont="1" applyFill="1" applyBorder="1" applyAlignment="1" applyProtection="1">
      <alignment horizontal="centerContinuous"/>
      <protection/>
    </xf>
    <xf numFmtId="192" fontId="12" fillId="35" borderId="22" xfId="0" applyNumberFormat="1" applyFont="1" applyFill="1" applyBorder="1" applyAlignment="1" applyProtection="1" quotePrefix="1">
      <alignment horizontal="centerContinuous"/>
      <protection/>
    </xf>
    <xf numFmtId="192" fontId="4" fillId="35" borderId="22" xfId="0" applyNumberFormat="1" applyFont="1" applyFill="1" applyBorder="1" applyAlignment="1" applyProtection="1">
      <alignment horizontal="center"/>
      <protection/>
    </xf>
    <xf numFmtId="192" fontId="12" fillId="35" borderId="24" xfId="0" applyFont="1" applyFill="1" applyBorder="1" applyAlignment="1" applyProtection="1">
      <alignment/>
      <protection/>
    </xf>
    <xf numFmtId="192" fontId="4" fillId="35" borderId="24" xfId="0" applyFont="1" applyFill="1" applyBorder="1" applyAlignment="1" applyProtection="1">
      <alignment/>
      <protection/>
    </xf>
    <xf numFmtId="192" fontId="4" fillId="35" borderId="31" xfId="0" applyNumberFormat="1" applyFont="1" applyFill="1" applyBorder="1" applyAlignment="1" applyProtection="1">
      <alignment horizontal="center"/>
      <protection/>
    </xf>
    <xf numFmtId="192" fontId="20" fillId="0" borderId="55" xfId="0" applyNumberFormat="1" applyFont="1" applyBorder="1" applyAlignment="1" applyProtection="1">
      <alignment/>
      <protection/>
    </xf>
    <xf numFmtId="192" fontId="12" fillId="35" borderId="42" xfId="0" applyNumberFormat="1" applyFont="1" applyFill="1" applyBorder="1" applyAlignment="1" applyProtection="1">
      <alignment/>
      <protection/>
    </xf>
    <xf numFmtId="192" fontId="4" fillId="35" borderId="60" xfId="0" applyFont="1" applyFill="1" applyBorder="1" applyAlignment="1" applyProtection="1">
      <alignment/>
      <protection/>
    </xf>
    <xf numFmtId="192" fontId="4" fillId="35" borderId="42" xfId="0" applyFont="1" applyFill="1" applyBorder="1" applyAlignment="1" applyProtection="1">
      <alignment/>
      <protection/>
    </xf>
    <xf numFmtId="192" fontId="4" fillId="0" borderId="31" xfId="0" applyNumberFormat="1" applyFont="1" applyBorder="1" applyAlignment="1" applyProtection="1">
      <alignment horizontal="center"/>
      <protection/>
    </xf>
    <xf numFmtId="192" fontId="12" fillId="35" borderId="53" xfId="0" applyNumberFormat="1" applyFont="1" applyFill="1" applyBorder="1" applyAlignment="1" applyProtection="1">
      <alignment/>
      <protection/>
    </xf>
    <xf numFmtId="192" fontId="12" fillId="35" borderId="31" xfId="0" applyNumberFormat="1" applyFont="1" applyFill="1" applyBorder="1" applyAlignment="1" applyProtection="1">
      <alignment horizontal="centerContinuous"/>
      <protection/>
    </xf>
    <xf numFmtId="192" fontId="3" fillId="35" borderId="71" xfId="0" applyFont="1" applyFill="1" applyBorder="1" applyAlignment="1" applyProtection="1" quotePrefix="1">
      <alignment horizontal="left"/>
      <protection/>
    </xf>
    <xf numFmtId="192" fontId="24" fillId="35" borderId="53" xfId="0" applyFont="1" applyFill="1" applyBorder="1" applyAlignment="1" applyProtection="1">
      <alignment/>
      <protection/>
    </xf>
    <xf numFmtId="192" fontId="20" fillId="35" borderId="22" xfId="0" applyFont="1" applyFill="1" applyBorder="1" applyAlignment="1" applyProtection="1">
      <alignment horizontal="right"/>
      <protection/>
    </xf>
    <xf numFmtId="192" fontId="12" fillId="35" borderId="31" xfId="0" applyFont="1" applyFill="1" applyBorder="1" applyAlignment="1" applyProtection="1">
      <alignment horizontal="center"/>
      <protection/>
    </xf>
    <xf numFmtId="192" fontId="12" fillId="35" borderId="22" xfId="0" applyFont="1" applyFill="1" applyBorder="1" applyAlignment="1" applyProtection="1">
      <alignment horizontal="right"/>
      <protection/>
    </xf>
    <xf numFmtId="192" fontId="24" fillId="35" borderId="48" xfId="0" applyFont="1" applyFill="1" applyBorder="1" applyAlignment="1" applyProtection="1">
      <alignment/>
      <protection/>
    </xf>
    <xf numFmtId="192" fontId="4" fillId="35" borderId="13" xfId="0" applyFont="1" applyFill="1" applyBorder="1" applyAlignment="1" applyProtection="1">
      <alignment/>
      <protection/>
    </xf>
    <xf numFmtId="192" fontId="12" fillId="35" borderId="13" xfId="0" applyFont="1" applyFill="1" applyBorder="1" applyAlignment="1" applyProtection="1">
      <alignment/>
      <protection/>
    </xf>
    <xf numFmtId="192" fontId="4" fillId="35" borderId="55" xfId="0" applyFont="1" applyFill="1" applyBorder="1" applyAlignment="1" applyProtection="1">
      <alignment/>
      <protection/>
    </xf>
    <xf numFmtId="192" fontId="18" fillId="35" borderId="53" xfId="0" applyNumberFormat="1" applyFont="1" applyFill="1" applyBorder="1" applyAlignment="1" applyProtection="1">
      <alignment/>
      <protection/>
    </xf>
    <xf numFmtId="192" fontId="18" fillId="35" borderId="50" xfId="0" applyFont="1" applyFill="1" applyBorder="1" applyAlignment="1" applyProtection="1" quotePrefix="1">
      <alignment horizontal="left"/>
      <protection/>
    </xf>
    <xf numFmtId="192" fontId="3" fillId="35" borderId="53" xfId="0" applyFont="1" applyFill="1" applyBorder="1" applyAlignment="1" applyProtection="1">
      <alignment/>
      <protection/>
    </xf>
    <xf numFmtId="192" fontId="4" fillId="0" borderId="58" xfId="0" applyFont="1" applyBorder="1" applyAlignment="1" applyProtection="1" quotePrefix="1">
      <alignment horizontal="left"/>
      <protection/>
    </xf>
    <xf numFmtId="192" fontId="1" fillId="0" borderId="58" xfId="0" applyFont="1" applyBorder="1" applyAlignment="1" applyProtection="1">
      <alignment horizontal="centerContinuous"/>
      <protection/>
    </xf>
    <xf numFmtId="192" fontId="1" fillId="0" borderId="59" xfId="0" applyFont="1" applyBorder="1" applyAlignment="1" applyProtection="1">
      <alignment horizontal="centerContinuous"/>
      <protection/>
    </xf>
    <xf numFmtId="192" fontId="4" fillId="0" borderId="58" xfId="0" applyFont="1" applyBorder="1" applyAlignment="1" applyProtection="1">
      <alignment horizontal="centerContinuous"/>
      <protection/>
    </xf>
    <xf numFmtId="192" fontId="4" fillId="0" borderId="59" xfId="0" applyFont="1" applyBorder="1" applyAlignment="1" applyProtection="1">
      <alignment horizontal="centerContinuous"/>
      <protection/>
    </xf>
    <xf numFmtId="192" fontId="4" fillId="0" borderId="21" xfId="0" applyFont="1" applyBorder="1" applyAlignment="1" applyProtection="1">
      <alignment horizontal="centerContinuous"/>
      <protection/>
    </xf>
    <xf numFmtId="192" fontId="4" fillId="0" borderId="23" xfId="0" applyFont="1" applyBorder="1" applyAlignment="1" applyProtection="1">
      <alignment horizontal="center"/>
      <protection/>
    </xf>
    <xf numFmtId="192" fontId="12" fillId="35" borderId="0" xfId="0" applyNumberFormat="1" applyFont="1" applyFill="1" applyBorder="1" applyAlignment="1" applyProtection="1">
      <alignment horizontal="center"/>
      <protection/>
    </xf>
    <xf numFmtId="192" fontId="4" fillId="35" borderId="0" xfId="0" applyFont="1" applyFill="1" applyBorder="1" applyAlignment="1">
      <alignment horizontal="center"/>
    </xf>
    <xf numFmtId="192" fontId="13" fillId="0" borderId="0" xfId="0" applyFont="1" applyBorder="1" applyAlignment="1" applyProtection="1">
      <alignment/>
      <protection locked="0"/>
    </xf>
    <xf numFmtId="192" fontId="57" fillId="0" borderId="0" xfId="57" applyNumberFormat="1" applyFont="1" applyAlignment="1" applyProtection="1">
      <alignment/>
      <protection/>
    </xf>
    <xf numFmtId="192" fontId="12" fillId="0" borderId="18" xfId="0" applyFont="1" applyFill="1" applyBorder="1" applyAlignment="1" applyProtection="1">
      <alignment horizontal="center" vertical="center" wrapText="1"/>
      <protection/>
    </xf>
    <xf numFmtId="192" fontId="12" fillId="0" borderId="20" xfId="0" applyFont="1" applyFill="1" applyBorder="1" applyAlignment="1" applyProtection="1">
      <alignment horizontal="center" vertical="center" wrapText="1"/>
      <protection/>
    </xf>
    <xf numFmtId="192" fontId="12" fillId="0" borderId="0" xfId="0" applyFont="1" applyFill="1" applyBorder="1" applyAlignment="1">
      <alignment horizontal="center" vertical="center" wrapText="1"/>
    </xf>
    <xf numFmtId="192" fontId="12" fillId="0" borderId="13" xfId="0" applyFont="1" applyFill="1" applyBorder="1" applyAlignment="1" applyProtection="1">
      <alignment horizontal="center" vertical="center" wrapText="1"/>
      <protection hidden="1"/>
    </xf>
    <xf numFmtId="192" fontId="12" fillId="0" borderId="24" xfId="0" applyFont="1" applyFill="1" applyBorder="1" applyAlignment="1" applyProtection="1">
      <alignment horizontal="center" vertical="center" wrapText="1"/>
      <protection hidden="1"/>
    </xf>
    <xf numFmtId="192" fontId="24" fillId="35" borderId="10" xfId="0" applyNumberFormat="1" applyFont="1" applyFill="1" applyBorder="1" applyAlignment="1" applyProtection="1">
      <alignment horizontal="center" vertical="center"/>
      <protection/>
    </xf>
    <xf numFmtId="192" fontId="24" fillId="35" borderId="23" xfId="0" applyNumberFormat="1" applyFont="1" applyFill="1" applyBorder="1" applyAlignment="1" applyProtection="1">
      <alignment horizontal="center" vertical="center"/>
      <protection/>
    </xf>
    <xf numFmtId="205" fontId="51" fillId="33" borderId="20" xfId="62" applyNumberFormat="1" applyFont="1" applyFill="1" applyBorder="1" applyAlignment="1" applyProtection="1">
      <alignment horizontal="center"/>
      <protection hidden="1"/>
    </xf>
    <xf numFmtId="205" fontId="51" fillId="33" borderId="17" xfId="62" applyNumberFormat="1" applyFont="1" applyFill="1" applyBorder="1" applyAlignment="1" applyProtection="1">
      <alignment horizontal="center"/>
      <protection hidden="1"/>
    </xf>
    <xf numFmtId="192" fontId="37" fillId="0" borderId="10" xfId="0" applyFont="1" applyBorder="1" applyAlignment="1" applyProtection="1">
      <alignment horizontal="center"/>
      <protection hidden="1"/>
    </xf>
    <xf numFmtId="192" fontId="37" fillId="0" borderId="19" xfId="0" applyFont="1" applyBorder="1" applyAlignment="1" applyProtection="1">
      <alignment horizontal="center"/>
      <protection hidden="1"/>
    </xf>
    <xf numFmtId="192" fontId="37" fillId="0" borderId="23" xfId="0" applyFont="1" applyBorder="1" applyAlignment="1" applyProtection="1">
      <alignment horizontal="center"/>
      <protection hidden="1"/>
    </xf>
    <xf numFmtId="192" fontId="65" fillId="33" borderId="85" xfId="0" applyFont="1" applyFill="1" applyBorder="1" applyAlignment="1" applyProtection="1">
      <alignment horizontal="center" vertical="center"/>
      <protection/>
    </xf>
    <xf numFmtId="192" fontId="65" fillId="33" borderId="86" xfId="0" applyFont="1" applyFill="1" applyBorder="1" applyAlignment="1" applyProtection="1">
      <alignment horizontal="center" vertical="center"/>
      <protection/>
    </xf>
    <xf numFmtId="192" fontId="65" fillId="33" borderId="87" xfId="0" applyFont="1" applyFill="1" applyBorder="1" applyAlignment="1" applyProtection="1">
      <alignment horizontal="center" vertical="center"/>
      <protection/>
    </xf>
    <xf numFmtId="192" fontId="65" fillId="33" borderId="88" xfId="0" applyFont="1" applyFill="1" applyBorder="1" applyAlignment="1" applyProtection="1">
      <alignment horizontal="center" vertical="center"/>
      <protection/>
    </xf>
    <xf numFmtId="192" fontId="65" fillId="33" borderId="0" xfId="0" applyFont="1" applyFill="1" applyBorder="1" applyAlignment="1" applyProtection="1">
      <alignment horizontal="center" vertical="center"/>
      <protection/>
    </xf>
    <xf numFmtId="192" fontId="65" fillId="33" borderId="89" xfId="0" applyFont="1" applyFill="1" applyBorder="1" applyAlignment="1" applyProtection="1">
      <alignment horizontal="center" vertical="center"/>
      <protection/>
    </xf>
    <xf numFmtId="192" fontId="65" fillId="33" borderId="90" xfId="0" applyFont="1" applyFill="1" applyBorder="1" applyAlignment="1" applyProtection="1">
      <alignment horizontal="center" vertical="center"/>
      <protection/>
    </xf>
    <xf numFmtId="192" fontId="65" fillId="33" borderId="91" xfId="0" applyFont="1" applyFill="1" applyBorder="1" applyAlignment="1" applyProtection="1">
      <alignment horizontal="center" vertical="center"/>
      <protection/>
    </xf>
    <xf numFmtId="192" fontId="65" fillId="33" borderId="92" xfId="0" applyFont="1" applyFill="1" applyBorder="1" applyAlignment="1" applyProtection="1">
      <alignment horizontal="center" vertic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F2" xfId="48"/>
    <cellStyle name="F3" xfId="49"/>
    <cellStyle name="F4" xfId="50"/>
    <cellStyle name="F5" xfId="51"/>
    <cellStyle name="F6" xfId="52"/>
    <cellStyle name="F7" xfId="53"/>
    <cellStyle name="F8" xfId="54"/>
    <cellStyle name="Fijo" xfId="55"/>
    <cellStyle name="Financiero" xfId="56"/>
    <cellStyle name="Hyperlink" xfId="57"/>
    <cellStyle name="Followed Hyperlink" xfId="58"/>
    <cellStyle name="Incorrecto" xfId="59"/>
    <cellStyle name="Comma" xfId="60"/>
    <cellStyle name="Comma [0]" xfId="61"/>
    <cellStyle name="Currency" xfId="62"/>
    <cellStyle name="Currency [0]" xfId="63"/>
    <cellStyle name="Monetario" xfId="64"/>
    <cellStyle name="Neutral" xfId="65"/>
    <cellStyle name="Notas" xfId="66"/>
    <cellStyle name="Porcentaje" xfId="67"/>
    <cellStyle name="Percent" xfId="68"/>
    <cellStyle name="Salida" xfId="69"/>
    <cellStyle name="Texto de advertencia" xfId="70"/>
    <cellStyle name="Texto explicativo" xfId="71"/>
    <cellStyle name="Título" xfId="72"/>
    <cellStyle name="Título 1"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2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FFFEF"/>
      <rgbColor rgb="00FFFF99"/>
      <rgbColor rgb="0099CCFF"/>
      <rgbColor rgb="00FF99CC"/>
      <rgbColor rgb="00CC99FF"/>
      <rgbColor rgb="00E3E3E3"/>
      <rgbColor rgb="003366FF"/>
      <rgbColor rgb="00208482"/>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8080"/>
                </a:solidFill>
              </a:rPr>
              <a:t>RANKING DE ACTIVIDADES</a:t>
            </a:r>
          </a:p>
        </c:rich>
      </c:tx>
      <c:layout>
        <c:manualLayout>
          <c:xMode val="factor"/>
          <c:yMode val="factor"/>
          <c:x val="-0.03575"/>
          <c:y val="-0.01275"/>
        </c:manualLayout>
      </c:layout>
      <c:spPr>
        <a:noFill/>
        <a:ln>
          <a:noFill/>
        </a:ln>
      </c:spPr>
    </c:title>
    <c:view3D>
      <c:rotX val="15"/>
      <c:hPercent val="46"/>
      <c:rotY val="20"/>
      <c:depthPercent val="100"/>
      <c:rAngAx val="1"/>
    </c:view3D>
    <c:plotArea>
      <c:layout>
        <c:manualLayout>
          <c:xMode val="edge"/>
          <c:yMode val="edge"/>
          <c:x val="0"/>
          <c:y val="0.0945"/>
          <c:w val="0.99175"/>
          <c:h val="0.881"/>
        </c:manualLayout>
      </c:layout>
      <c:bar3DChart>
        <c:barDir val="col"/>
        <c:grouping val="stacked"/>
        <c:varyColors val="0"/>
        <c:ser>
          <c:idx val="0"/>
          <c:order val="0"/>
          <c:tx>
            <c:strRef>
              <c:f>'IV. Resultados'!$B$78</c:f>
              <c:strCache>
                <c:ptCount val="1"/>
                <c:pt idx="0">
                  <c:v>MB/HA</c:v>
                </c:pt>
              </c:strCache>
            </c:strRef>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'IV. Resultados'!$A$79:$A$89</c:f>
              <c:strCache/>
            </c:strRef>
          </c:cat>
          <c:val>
            <c:numRef>
              <c:f>'IV. Resultados'!$B$79:$B$89</c:f>
              <c:numCache/>
            </c:numRef>
          </c:val>
          <c:shape val="box"/>
        </c:ser>
        <c:ser>
          <c:idx val="1"/>
          <c:order val="1"/>
          <c:tx>
            <c:strRef>
              <c:f>'IV. Resultados'!$C$78</c:f>
              <c:strCache>
                <c:ptCount val="1"/>
                <c:pt idx="0">
                  <c:v>CD/HA</c:v>
                </c:pt>
              </c:strCache>
            </c:strRef>
          </c:tx>
          <c:spPr>
            <a:solidFill>
              <a:srgbClr val="EFFFE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'IV. Resultados'!$A$79:$A$89</c:f>
              <c:strCache/>
            </c:strRef>
          </c:cat>
          <c:val>
            <c:numRef>
              <c:f>'IV. Resultados'!$C$79:$C$89</c:f>
              <c:numCache/>
            </c:numRef>
          </c:val>
          <c:shape val="box"/>
        </c:ser>
        <c:overlap val="100"/>
        <c:shape val="box"/>
        <c:axId val="29202953"/>
        <c:axId val="61499986"/>
      </c:bar3DChart>
      <c:catAx>
        <c:axId val="292029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61499986"/>
        <c:crosses val="autoZero"/>
        <c:auto val="0"/>
        <c:lblOffset val="100"/>
        <c:tickLblSkip val="2"/>
        <c:noMultiLvlLbl val="0"/>
      </c:catAx>
      <c:valAx>
        <c:axId val="614999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9202953"/>
        <c:crossesAt val="1"/>
        <c:crossBetween val="between"/>
        <c:dispUnits/>
      </c:valAx>
      <c:spPr>
        <a:noFill/>
        <a:ln>
          <a:noFill/>
        </a:ln>
      </c:spPr>
    </c:plotArea>
    <c:legend>
      <c:legendPos val="r"/>
      <c:layout>
        <c:manualLayout>
          <c:xMode val="edge"/>
          <c:yMode val="edge"/>
          <c:x val="0.39725"/>
          <c:y val="0.939"/>
          <c:w val="0.216"/>
          <c:h val="0.061"/>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floor>
      <c:spPr>
        <a:solidFill>
          <a:srgbClr val="FFFFFF"/>
        </a:solidFill>
        <a:ln w="3175">
          <a:solidFill>
            <a:srgbClr val="000000"/>
          </a:solidFill>
        </a:ln>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7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8080"/>
                </a:solidFill>
              </a:rPr>
              <a:t>COMPOSICIÓN DEL COSTO TOTAL</a:t>
            </a:r>
          </a:p>
        </c:rich>
      </c:tx>
      <c:layout>
        <c:manualLayout>
          <c:xMode val="factor"/>
          <c:yMode val="factor"/>
          <c:x val="-0.016"/>
          <c:y val="0.02475"/>
        </c:manualLayout>
      </c:layout>
      <c:spPr>
        <a:noFill/>
        <a:ln>
          <a:noFill/>
        </a:ln>
      </c:spPr>
    </c:title>
    <c:view3D>
      <c:rotX val="15"/>
      <c:hPercent val="100"/>
      <c:rotY val="0"/>
      <c:depthPercent val="100"/>
      <c:rAngAx val="1"/>
    </c:view3D>
    <c:plotArea>
      <c:layout>
        <c:manualLayout>
          <c:xMode val="edge"/>
          <c:yMode val="edge"/>
          <c:x val="0.239"/>
          <c:y val="0.1975"/>
          <c:w val="0.548"/>
          <c:h val="0.45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FF0000"/>
              </a:solidFill>
              <a:ln w="12700">
                <a:solidFill>
                  <a:srgbClr val="000000"/>
                </a:solidFill>
              </a:ln>
            </c:spPr>
          </c:dPt>
          <c:dLbls>
            <c:dLbl>
              <c:idx val="0"/>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0"/>
            <c:showSerName val="0"/>
            <c:showLeaderLines val="0"/>
            <c:showPercent val="1"/>
          </c:dLbls>
          <c:cat>
            <c:strRef>
              <c:f>'IV. Resultados'!$I$39:$I$43</c:f>
              <c:strCache/>
            </c:strRef>
          </c:cat>
          <c:val>
            <c:numRef>
              <c:f>'IV. Resultados'!$K$39:$K$43</c:f>
              <c:numCache/>
            </c:numRef>
          </c:val>
        </c:ser>
      </c:pie3DChart>
      <c:spPr>
        <a:noFill/>
        <a:ln>
          <a:noFill/>
        </a:ln>
      </c:spPr>
    </c:plotArea>
    <c:legend>
      <c:legendPos val="r"/>
      <c:layout>
        <c:manualLayout>
          <c:xMode val="edge"/>
          <c:yMode val="edge"/>
          <c:x val="0.07775"/>
          <c:y val="0.70775"/>
          <c:w val="0.8925"/>
          <c:h val="0.27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Composición del Capital</a:t>
            </a:r>
          </a:p>
        </c:rich>
      </c:tx>
      <c:layout>
        <c:manualLayout>
          <c:xMode val="factor"/>
          <c:yMode val="factor"/>
          <c:x val="0.00675"/>
          <c:y val="0"/>
        </c:manualLayout>
      </c:layout>
      <c:spPr>
        <a:noFill/>
        <a:ln>
          <a:noFill/>
        </a:ln>
      </c:spPr>
    </c:title>
    <c:view3D>
      <c:rotX val="15"/>
      <c:hPercent val="100"/>
      <c:rotY val="0"/>
      <c:depthPercent val="100"/>
      <c:rAngAx val="1"/>
    </c:view3D>
    <c:plotArea>
      <c:layout>
        <c:manualLayout>
          <c:xMode val="edge"/>
          <c:yMode val="edge"/>
          <c:x val="0.1335"/>
          <c:y val="0.2745"/>
          <c:w val="0.72925"/>
          <c:h val="0.245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150" b="0" i="0" u="none" baseline="0">
                      <a:solidFill>
                        <a:srgbClr val="000000"/>
                      </a:solidFil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150" b="0" i="0" u="none" baseline="0">
                    <a:solidFill>
                      <a:srgbClr val="000000"/>
                    </a:solidFill>
                  </a:defRPr>
                </a:pPr>
              </a:p>
            </c:txPr>
            <c:dLblPos val="outEnd"/>
            <c:showLegendKey val="0"/>
            <c:showVal val="0"/>
            <c:showBubbleSize val="0"/>
            <c:showCatName val="0"/>
            <c:showSerName val="0"/>
            <c:showLeaderLines val="0"/>
            <c:showPercent val="1"/>
          </c:dLbls>
          <c:cat>
            <c:strRef>
              <c:f>'V. Indicadores'!$B$5:$B$8</c:f>
              <c:strCache/>
            </c:strRef>
          </c:cat>
          <c:val>
            <c:numRef>
              <c:f>'V. Indicadores'!$D$5:$D$8</c:f>
              <c:numCache/>
            </c:numRef>
          </c:val>
        </c:ser>
      </c:pie3DChart>
      <c:spPr>
        <a:noFill/>
        <a:ln>
          <a:noFill/>
        </a:ln>
      </c:spPr>
    </c:plotArea>
    <c:legend>
      <c:legendPos val="r"/>
      <c:layout>
        <c:manualLayout>
          <c:xMode val="edge"/>
          <c:yMode val="edge"/>
          <c:x val="0.12325"/>
          <c:y val="0.75725"/>
          <c:w val="0.7775"/>
          <c:h val="0.2225"/>
        </c:manualLayout>
      </c:layout>
      <c:overlay val="0"/>
      <c:spPr>
        <a:solidFill>
          <a:srgbClr val="FFFFFF"/>
        </a:solidFill>
        <a:ln w="3175">
          <a:noFill/>
        </a:ln>
      </c:spPr>
      <c:txPr>
        <a:bodyPr vert="horz" rot="0"/>
        <a:lstStyle/>
        <a:p>
          <a:pPr>
            <a:defRPr lang="en-US" cap="none" sz="675" b="0" i="0" u="none" baseline="0">
              <a:solidFill>
                <a:srgbClr val="000000"/>
              </a:solidFil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de Leche. Composición del Gasto Directo por rubro </a:t>
            </a:r>
          </a:p>
        </c:rich>
      </c:tx>
      <c:layout>
        <c:manualLayout>
          <c:xMode val="factor"/>
          <c:yMode val="factor"/>
          <c:x val="0.00725"/>
          <c:y val="0"/>
        </c:manualLayout>
      </c:layout>
      <c:spPr>
        <a:noFill/>
        <a:ln>
          <a:noFill/>
        </a:ln>
      </c:spPr>
    </c:title>
    <c:view3D>
      <c:rotX val="15"/>
      <c:hPercent val="100"/>
      <c:rotY val="0"/>
      <c:depthPercent val="100"/>
      <c:rAngAx val="1"/>
    </c:view3D>
    <c:plotArea>
      <c:layout>
        <c:manualLayout>
          <c:xMode val="edge"/>
          <c:yMode val="edge"/>
          <c:x val="0.1"/>
          <c:y val="0.27775"/>
          <c:w val="0.77725"/>
          <c:h val="0.2807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cat>
            <c:strRef>
              <c:f>'VII. Impresión'!$Z$27:$Z$35</c:f>
              <c:strCache/>
            </c:strRef>
          </c:cat>
          <c:val>
            <c:numRef>
              <c:f>'VII. Impresión'!$AC$27:$AC$35</c:f>
              <c:numCache/>
            </c:numRef>
          </c:val>
        </c:ser>
      </c:pie3DChart>
      <c:spPr>
        <a:noFill/>
        <a:ln>
          <a:noFill/>
        </a:ln>
      </c:spPr>
    </c:plotArea>
    <c:legend>
      <c:legendPos val="r"/>
      <c:layout>
        <c:manualLayout>
          <c:xMode val="edge"/>
          <c:yMode val="edge"/>
          <c:x val="0.03925"/>
          <c:y val="0.69725"/>
          <c:w val="0.929"/>
          <c:h val="0.293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85725</xdr:rowOff>
    </xdr:from>
    <xdr:to>
      <xdr:col>8</xdr:col>
      <xdr:colOff>971550</xdr:colOff>
      <xdr:row>28</xdr:row>
      <xdr:rowOff>114300</xdr:rowOff>
    </xdr:to>
    <xdr:sp>
      <xdr:nvSpPr>
        <xdr:cNvPr id="1" name="Texto 22" descr="Papel reciclado"/>
        <xdr:cNvSpPr txBox="1">
          <a:spLocks noChangeArrowheads="1"/>
        </xdr:cNvSpPr>
      </xdr:nvSpPr>
      <xdr:spPr>
        <a:xfrm>
          <a:off x="1800225" y="85725"/>
          <a:ext cx="7572375" cy="5362575"/>
        </a:xfrm>
        <a:prstGeom prst="rect">
          <a:avLst/>
        </a:prstGeom>
        <a:blipFill>
          <a:blip r:embed="rId1"/>
          <a:srcRect/>
          <a:stretch>
            <a:fillRect/>
          </a:stretch>
        </a:blipFill>
        <a:ln w="24765" cmpd="sng">
          <a:solidFill>
            <a:srgbClr val="000000"/>
          </a:solidFill>
          <a:headEnd type="none"/>
          <a:tailEnd type="none"/>
        </a:ln>
      </xdr:spPr>
      <xdr:txBody>
        <a:bodyPr vertOverflow="clip" wrap="square" lIns="36576" tIns="22860" rIns="36576" bIns="0"/>
        <a:p>
          <a:pPr algn="ctr">
            <a:defRPr/>
          </a:pPr>
          <a:r>
            <a:rPr lang="en-US" cap="none" sz="1200" b="0" i="0" u="none" baseline="0">
              <a:solidFill>
                <a:srgbClr val="000000"/>
              </a:solidFill>
              <a:latin typeface="Courier"/>
              <a:ea typeface="Courier"/>
              <a:cs typeface="Courier"/>
            </a:rPr>
            <a:t>
</a:t>
          </a:r>
          <a:r>
            <a:rPr lang="en-US" cap="none" sz="4000" b="1" i="0" u="none" baseline="0">
              <a:solidFill>
                <a:srgbClr val="333399"/>
              </a:solidFill>
              <a:latin typeface="Bookman Old Style"/>
              <a:ea typeface="Bookman Old Style"/>
              <a:cs typeface="Bookman Old Style"/>
            </a:rPr>
            <a:t>TAMBO 2006</a:t>
          </a:r>
          <a:r>
            <a:rPr lang="en-US" cap="none" sz="1200" b="0" i="0" u="none" baseline="0">
              <a:solidFill>
                <a:srgbClr val="000000"/>
              </a:solidFill>
              <a:latin typeface="Courier"/>
              <a:ea typeface="Courier"/>
              <a:cs typeface="Courier"/>
            </a:rPr>
            <a:t>
</a:t>
          </a:r>
          <a:r>
            <a:rPr lang="en-US" cap="none" sz="1400" b="1" i="0" u="none" baseline="0">
              <a:solidFill>
                <a:srgbClr val="666699"/>
              </a:solidFill>
              <a:latin typeface="Copperplate Gothic Light"/>
              <a:ea typeface="Copperplate Gothic Light"/>
              <a:cs typeface="Copperplate Gothic Light"/>
            </a:rPr>
            <a:t>Modelo de Análisis Técnico - Económico 
</a:t>
          </a:r>
          <a:r>
            <a:rPr lang="en-US" cap="none" sz="1400" b="1" i="0" u="none" baseline="0">
              <a:solidFill>
                <a:srgbClr val="666699"/>
              </a:solidFill>
              <a:latin typeface="Copperplate Gothic Light"/>
              <a:ea typeface="Copperplate Gothic Light"/>
              <a:cs typeface="Copperplate Gothic Light"/>
            </a:rPr>
            <a:t>para empresas predominantemente lecheras,</a:t>
          </a:r>
          <a:r>
            <a:rPr lang="en-US" cap="none" sz="1200" b="1" i="0" u="none" baseline="0">
              <a:solidFill>
                <a:srgbClr val="808080"/>
              </a:solidFill>
              <a:latin typeface="Copperplate Gothic Light"/>
              <a:ea typeface="Copperplate Gothic Light"/>
              <a:cs typeface="Copperplate Gothic Light"/>
            </a:rPr>
            <a:t>
</a:t>
          </a:r>
          <a:r>
            <a:rPr lang="en-US" cap="none" sz="1000" b="1" i="0" u="none" baseline="0">
              <a:solidFill>
                <a:srgbClr val="333333"/>
              </a:solidFill>
              <a:latin typeface="Copperplate Gothic Light"/>
              <a:ea typeface="Copperplate Gothic Light"/>
              <a:cs typeface="Copperplate Gothic Light"/>
            </a:rPr>
            <a:t>(Tambo - Invernada - Agricultura)</a:t>
          </a:r>
          <a:r>
            <a:rPr lang="en-US" cap="none" sz="1400" b="0" i="0" u="none" baseline="0">
              <a:solidFill>
                <a:srgbClr val="000000"/>
              </a:solidFill>
              <a:latin typeface="Courier"/>
              <a:ea typeface="Courier"/>
              <a:cs typeface="Courier"/>
            </a:rPr>
            <a:t>
</a:t>
          </a:r>
          <a:r>
            <a:rPr lang="en-US" cap="none" sz="1000" b="0" i="0" u="none" baseline="0">
              <a:solidFill>
                <a:srgbClr val="000000"/>
              </a:solidFill>
              <a:latin typeface="Book Antiqua"/>
              <a:ea typeface="Book Antiqua"/>
              <a:cs typeface="Book Antiqua"/>
            </a:rPr>
            <a:t>Registro de Propiedad Intelectual nro. 535656 (CESSI)</a:t>
          </a:r>
          <a:r>
            <a:rPr lang="en-US" cap="none" sz="9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1" i="0" u="sng" baseline="0">
              <a:solidFill>
                <a:srgbClr val="333300"/>
              </a:solidFill>
              <a:latin typeface="Arial"/>
              <a:ea typeface="Arial"/>
              <a:cs typeface="Arial"/>
            </a:rPr>
            <a:t>Cátedra de Administración de Organizaciones</a:t>
          </a:r>
          <a:r>
            <a:rPr lang="en-US" cap="none" sz="1200" b="1" i="0" u="none" baseline="0">
              <a:solidFill>
                <a:srgbClr val="339966"/>
              </a:solidFill>
              <a:latin typeface="Arial"/>
              <a:ea typeface="Arial"/>
              <a:cs typeface="Arial"/>
            </a:rPr>
            <a:t>
</a:t>
          </a:r>
          <a:r>
            <a:rPr lang="en-US" cap="none" sz="1200" b="1" i="0" u="none" baseline="0">
              <a:solidFill>
                <a:srgbClr val="008080"/>
              </a:solidFill>
              <a:latin typeface="Arial"/>
              <a:ea typeface="Arial"/>
              <a:cs typeface="Arial"/>
            </a:rPr>
            <a:t>Ana María Cursack 
</a:t>
          </a:r>
          <a:r>
            <a:rPr lang="en-US" cap="none" sz="1200" b="1" i="0" u="none" baseline="0">
              <a:solidFill>
                <a:srgbClr val="008080"/>
              </a:solidFill>
              <a:latin typeface="Arial"/>
              <a:ea typeface="Arial"/>
              <a:cs typeface="Arial"/>
            </a:rPr>
            <a:t>María Isabel Castignani
</a:t>
          </a:r>
          <a:r>
            <a:rPr lang="en-US" cap="none" sz="1200" b="1" i="0" u="none" baseline="0">
              <a:solidFill>
                <a:srgbClr val="008080"/>
              </a:solidFill>
              <a:latin typeface="Arial"/>
              <a:ea typeface="Arial"/>
              <a:cs typeface="Arial"/>
            </a:rPr>
            <a:t>Mariana Raquel Travadelo
</a:t>
          </a:r>
          <a:r>
            <a:rPr lang="en-US" cap="none" sz="1200" b="1" i="0" u="none" baseline="0">
              <a:solidFill>
                <a:srgbClr val="008080"/>
              </a:solidFill>
              <a:latin typeface="Arial"/>
              <a:ea typeface="Arial"/>
              <a:cs typeface="Arial"/>
            </a:rPr>
            <a:t>Oscar Ernesto Osan
</a:t>
          </a:r>
          <a:r>
            <a:rPr lang="en-US" cap="none" sz="1200" b="1" i="0" u="none" baseline="0">
              <a:solidFill>
                <a:srgbClr val="008080"/>
              </a:solidFill>
              <a:latin typeface="Arial"/>
              <a:ea typeface="Arial"/>
              <a:cs typeface="Arial"/>
            </a:rPr>
            <a:t>Marta María Suero
</a:t>
          </a:r>
          <a:r>
            <a:rPr lang="en-US" cap="none" sz="1200" b="1" i="0" u="none" baseline="0">
              <a:solidFill>
                <a:srgbClr val="008080"/>
              </a:solidFill>
              <a:latin typeface="Arial"/>
              <a:ea typeface="Arial"/>
              <a:cs typeface="Arial"/>
            </a:rPr>
            <a:t>Horacio Adolfo Castignani</a:t>
          </a:r>
          <a:r>
            <a:rPr lang="en-US" cap="none" sz="1200" b="0" i="0" u="none" baseline="0">
              <a:solidFill>
                <a:srgbClr val="000000"/>
              </a:solidFill>
              <a:latin typeface="Courier"/>
              <a:ea typeface="Courier"/>
              <a:cs typeface="Courier"/>
            </a:rPr>
            <a:t>
</a:t>
          </a:r>
          <a:r>
            <a:rPr lang="en-US" cap="none" sz="1200" b="0" i="0" u="none" baseline="0">
              <a:solidFill>
                <a:srgbClr val="000000"/>
              </a:solidFill>
              <a:latin typeface="Courier"/>
              <a:ea typeface="Courier"/>
              <a:cs typeface="Courier"/>
            </a:rPr>
            <a:t>
</a:t>
          </a:r>
          <a:r>
            <a:rPr lang="en-US" cap="none" sz="1200" b="0" i="0" u="none" baseline="0">
              <a:solidFill>
                <a:srgbClr val="000000"/>
              </a:solidFill>
              <a:latin typeface="Verdana"/>
              <a:ea typeface="Verdana"/>
              <a:cs typeface="Verdana"/>
            </a:rPr>
            <a:t>Facultad de Ciencias Agrarias 
</a:t>
          </a:r>
          <a:r>
            <a:rPr lang="en-US" cap="none" sz="1200" b="0" i="0" u="none" baseline="0">
              <a:solidFill>
                <a:srgbClr val="000000"/>
              </a:solidFill>
              <a:latin typeface="Verdana"/>
              <a:ea typeface="Verdana"/>
              <a:cs typeface="Verdana"/>
            </a:rPr>
            <a:t>Universidad Nacional del Litoral
</a:t>
          </a:r>
          <a:r>
            <a:rPr lang="en-US" cap="none" sz="1200" b="0" i="0" u="none" baseline="0">
              <a:solidFill>
                <a:srgbClr val="000000"/>
              </a:solidFill>
              <a:latin typeface="Verdana"/>
              <a:ea typeface="Verdana"/>
              <a:cs typeface="Verdana"/>
            </a:rPr>
            <a:t>2006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
</a:t>
          </a:r>
          <a:r>
            <a:rPr lang="en-US" cap="none" sz="1200" b="0" i="0" u="none" baseline="0">
              <a:solidFill>
                <a:srgbClr val="000000"/>
              </a:solidFill>
              <a:latin typeface="Verdana"/>
              <a:ea typeface="Verdana"/>
              <a:cs typeface="Verdana"/>
            </a:rPr>
            <a:t>Se autoriza el uso de este programa a:
</a:t>
          </a:r>
          <a:r>
            <a:rPr lang="en-US" cap="none" sz="1100" b="1" i="0" u="none" baseline="0">
              <a:solidFill>
                <a:srgbClr val="000000"/>
              </a:solidFill>
              <a:latin typeface="Verdana"/>
              <a:ea typeface="Verdana"/>
              <a:cs typeface="Verdana"/>
            </a:rPr>
            <a:t>
</a:t>
          </a:r>
          <a:r>
            <a:rPr lang="en-US" cap="none" sz="1100" b="1" i="0" u="none" baseline="0">
              <a:solidFill>
                <a:srgbClr val="000000"/>
              </a:solidFill>
              <a:latin typeface="Verdana"/>
              <a:ea typeface="Verdana"/>
              <a:cs typeface="Verdana"/>
            </a:rPr>
            <a:t>..................................</a:t>
          </a:r>
        </a:p>
      </xdr:txBody>
    </xdr:sp>
    <xdr:clientData/>
  </xdr:twoCellAnchor>
  <xdr:twoCellAnchor>
    <xdr:from>
      <xdr:col>2</xdr:col>
      <xdr:colOff>447675</xdr:colOff>
      <xdr:row>22</xdr:row>
      <xdr:rowOff>19050</xdr:rowOff>
    </xdr:from>
    <xdr:to>
      <xdr:col>8</xdr:col>
      <xdr:colOff>295275</xdr:colOff>
      <xdr:row>22</xdr:row>
      <xdr:rowOff>19050</xdr:rowOff>
    </xdr:to>
    <xdr:sp>
      <xdr:nvSpPr>
        <xdr:cNvPr id="2" name="Line 5"/>
        <xdr:cNvSpPr>
          <a:spLocks/>
        </xdr:cNvSpPr>
      </xdr:nvSpPr>
      <xdr:spPr>
        <a:xfrm>
          <a:off x="2447925" y="4210050"/>
          <a:ext cx="6248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95250</xdr:rowOff>
    </xdr:from>
    <xdr:to>
      <xdr:col>12</xdr:col>
      <xdr:colOff>0</xdr:colOff>
      <xdr:row>9</xdr:row>
      <xdr:rowOff>114300</xdr:rowOff>
    </xdr:to>
    <xdr:sp>
      <xdr:nvSpPr>
        <xdr:cNvPr id="1" name="Line 8"/>
        <xdr:cNvSpPr>
          <a:spLocks/>
        </xdr:cNvSpPr>
      </xdr:nvSpPr>
      <xdr:spPr>
        <a:xfrm>
          <a:off x="14735175" y="1343025"/>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12</xdr:col>
      <xdr:colOff>0</xdr:colOff>
      <xdr:row>12</xdr:row>
      <xdr:rowOff>95250</xdr:rowOff>
    </xdr:from>
    <xdr:to>
      <xdr:col>12</xdr:col>
      <xdr:colOff>0</xdr:colOff>
      <xdr:row>15</xdr:row>
      <xdr:rowOff>114300</xdr:rowOff>
    </xdr:to>
    <xdr:sp>
      <xdr:nvSpPr>
        <xdr:cNvPr id="2" name="Line 9"/>
        <xdr:cNvSpPr>
          <a:spLocks/>
        </xdr:cNvSpPr>
      </xdr:nvSpPr>
      <xdr:spPr>
        <a:xfrm>
          <a:off x="14735175" y="2486025"/>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12</xdr:col>
      <xdr:colOff>0</xdr:colOff>
      <xdr:row>18</xdr:row>
      <xdr:rowOff>123825</xdr:rowOff>
    </xdr:from>
    <xdr:to>
      <xdr:col>12</xdr:col>
      <xdr:colOff>0</xdr:colOff>
      <xdr:row>21</xdr:row>
      <xdr:rowOff>142875</xdr:rowOff>
    </xdr:to>
    <xdr:sp>
      <xdr:nvSpPr>
        <xdr:cNvPr id="3" name="Line 10"/>
        <xdr:cNvSpPr>
          <a:spLocks/>
        </xdr:cNvSpPr>
      </xdr:nvSpPr>
      <xdr:spPr>
        <a:xfrm>
          <a:off x="14735175" y="3657600"/>
          <a:ext cx="0" cy="5905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11</xdr:col>
      <xdr:colOff>1228725</xdr:colOff>
      <xdr:row>24</xdr:row>
      <xdr:rowOff>76200</xdr:rowOff>
    </xdr:from>
    <xdr:to>
      <xdr:col>11</xdr:col>
      <xdr:colOff>1228725</xdr:colOff>
      <xdr:row>28</xdr:row>
      <xdr:rowOff>123825</xdr:rowOff>
    </xdr:to>
    <xdr:sp>
      <xdr:nvSpPr>
        <xdr:cNvPr id="4" name="Line 11"/>
        <xdr:cNvSpPr>
          <a:spLocks/>
        </xdr:cNvSpPr>
      </xdr:nvSpPr>
      <xdr:spPr>
        <a:xfrm>
          <a:off x="14716125" y="4752975"/>
          <a:ext cx="0" cy="8096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ourier"/>
              <a:ea typeface="Courier"/>
              <a:cs typeface="Courier"/>
            </a:rPr>
            <a:t/>
          </a:r>
        </a:p>
      </xdr:txBody>
    </xdr:sp>
    <xdr:clientData/>
  </xdr:twoCellAnchor>
  <xdr:twoCellAnchor>
    <xdr:from>
      <xdr:col>0</xdr:col>
      <xdr:colOff>38100</xdr:colOff>
      <xdr:row>33</xdr:row>
      <xdr:rowOff>57150</xdr:rowOff>
    </xdr:from>
    <xdr:to>
      <xdr:col>6</xdr:col>
      <xdr:colOff>666750</xdr:colOff>
      <xdr:row>54</xdr:row>
      <xdr:rowOff>180975</xdr:rowOff>
    </xdr:to>
    <xdr:graphicFrame>
      <xdr:nvGraphicFramePr>
        <xdr:cNvPr id="5" name="Chart 12"/>
        <xdr:cNvGraphicFramePr/>
      </xdr:nvGraphicFramePr>
      <xdr:xfrm>
        <a:off x="38100" y="6448425"/>
        <a:ext cx="8096250" cy="4095750"/>
      </xdr:xfrm>
      <a:graphic>
        <a:graphicData uri="http://schemas.openxmlformats.org/drawingml/2006/chart">
          <c:chart xmlns:c="http://schemas.openxmlformats.org/drawingml/2006/chart" r:id="rId1"/>
        </a:graphicData>
      </a:graphic>
    </xdr:graphicFrame>
    <xdr:clientData/>
  </xdr:twoCellAnchor>
  <xdr:twoCellAnchor>
    <xdr:from>
      <xdr:col>11</xdr:col>
      <xdr:colOff>485775</xdr:colOff>
      <xdr:row>36</xdr:row>
      <xdr:rowOff>180975</xdr:rowOff>
    </xdr:from>
    <xdr:to>
      <xdr:col>15</xdr:col>
      <xdr:colOff>990600</xdr:colOff>
      <xdr:row>50</xdr:row>
      <xdr:rowOff>66675</xdr:rowOff>
    </xdr:to>
    <xdr:graphicFrame>
      <xdr:nvGraphicFramePr>
        <xdr:cNvPr id="6" name="Chart 13"/>
        <xdr:cNvGraphicFramePr/>
      </xdr:nvGraphicFramePr>
      <xdr:xfrm>
        <a:off x="13973175" y="7143750"/>
        <a:ext cx="5419725" cy="2543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219075</xdr:colOff>
      <xdr:row>2</xdr:row>
      <xdr:rowOff>190500</xdr:rowOff>
    </xdr:from>
    <xdr:to>
      <xdr:col>8</xdr:col>
      <xdr:colOff>104775</xdr:colOff>
      <xdr:row>20</xdr:row>
      <xdr:rowOff>142875</xdr:rowOff>
    </xdr:to>
    <xdr:graphicFrame>
      <xdr:nvGraphicFramePr>
        <xdr:cNvPr id="1" name="Chart 2"/>
        <xdr:cNvGraphicFramePr/>
      </xdr:nvGraphicFramePr>
      <xdr:xfrm>
        <a:off x="6934200" y="571500"/>
        <a:ext cx="3200400" cy="3381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838200</xdr:colOff>
      <xdr:row>36</xdr:row>
      <xdr:rowOff>104775</xdr:rowOff>
    </xdr:from>
    <xdr:to>
      <xdr:col>31</xdr:col>
      <xdr:colOff>942975</xdr:colOff>
      <xdr:row>57</xdr:row>
      <xdr:rowOff>38100</xdr:rowOff>
    </xdr:to>
    <xdr:graphicFrame>
      <xdr:nvGraphicFramePr>
        <xdr:cNvPr id="1" name="Chart 7"/>
        <xdr:cNvGraphicFramePr/>
      </xdr:nvGraphicFramePr>
      <xdr:xfrm>
        <a:off x="39157275" y="7648575"/>
        <a:ext cx="4410075" cy="4333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82</xdr:col>
      <xdr:colOff>371475</xdr:colOff>
      <xdr:row>1</xdr:row>
      <xdr:rowOff>0</xdr:rowOff>
    </xdr:from>
    <xdr:to>
      <xdr:col>89</xdr:col>
      <xdr:colOff>657225</xdr:colOff>
      <xdr:row>26</xdr:row>
      <xdr:rowOff>104775</xdr:rowOff>
    </xdr:to>
    <xdr:sp>
      <xdr:nvSpPr>
        <xdr:cNvPr id="1" name="Texto 2"/>
        <xdr:cNvSpPr txBox="1">
          <a:spLocks noChangeArrowheads="1"/>
        </xdr:cNvSpPr>
      </xdr:nvSpPr>
      <xdr:spPr>
        <a:xfrm>
          <a:off x="110185200" y="190500"/>
          <a:ext cx="8020050" cy="4848225"/>
        </a:xfrm>
        <a:prstGeom prst="rect">
          <a:avLst/>
        </a:prstGeom>
        <a:solidFill>
          <a:srgbClr val="EFFFEF"/>
        </a:solidFill>
        <a:ln w="9525" cmpd="sng">
          <a:solidFill>
            <a:srgbClr val="0000FF"/>
          </a:solidFill>
          <a:headEnd type="none"/>
          <a:tailEnd type="none"/>
        </a:ln>
      </xdr:spPr>
      <xdr:txBody>
        <a:bodyPr vertOverflow="clip" wrap="square" lIns="36576" tIns="22860" rIns="0" bIns="0"/>
        <a:p>
          <a:pPr algn="l">
            <a:defRPr/>
          </a:pPr>
          <a:r>
            <a:rPr lang="en-US" cap="none" sz="1200" b="0" i="0" u="none" baseline="0">
              <a:solidFill>
                <a:srgbClr val="000000"/>
              </a:solidFill>
              <a:latin typeface="Courier"/>
              <a:ea typeface="Courier"/>
              <a:cs typeface="Courier"/>
            </a:rPr>
            <a:t>
</a:t>
          </a:r>
          <a:r>
            <a:rPr lang="en-US" cap="none" sz="1200" b="0" i="0" u="none" baseline="0">
              <a:solidFill>
                <a:srgbClr val="000000"/>
              </a:solidFill>
              <a:latin typeface="Arial"/>
              <a:ea typeface="Arial"/>
              <a:cs typeface="Arial"/>
            </a:rPr>
            <a:t>Para Imprimir la</a:t>
          </a:r>
          <a:r>
            <a:rPr lang="en-US" cap="none" sz="1200" b="1" i="1" u="none" baseline="0">
              <a:solidFill>
                <a:srgbClr val="000000"/>
              </a:solidFill>
              <a:latin typeface="Arial"/>
              <a:ea typeface="Arial"/>
              <a:cs typeface="Arial"/>
            </a:rPr>
            <a:t> Encuesta al Productor</a:t>
          </a:r>
          <a:r>
            <a:rPr lang="en-US" cap="none" sz="1200" b="0" i="0" u="none" baseline="0">
              <a:solidFill>
                <a:srgbClr val="000000"/>
              </a:solidFill>
              <a:latin typeface="Arial"/>
              <a:ea typeface="Arial"/>
              <a:cs typeface="Arial"/>
            </a:rPr>
            <a:t> o los </a:t>
          </a:r>
          <a:r>
            <a:rPr lang="en-US" cap="none" sz="1200" b="1" i="1" u="none" baseline="0">
              <a:solidFill>
                <a:srgbClr val="000000"/>
              </a:solidFill>
              <a:latin typeface="Arial"/>
              <a:ea typeface="Arial"/>
              <a:cs typeface="Arial"/>
            </a:rPr>
            <a:t>Resultados</a:t>
          </a:r>
          <a:r>
            <a:rPr lang="en-US" cap="none" sz="1200" b="0" i="0" u="none" baseline="0">
              <a:solidFill>
                <a:srgbClr val="000000"/>
              </a:solidFill>
              <a:latin typeface="Arial"/>
              <a:ea typeface="Arial"/>
              <a:cs typeface="Arial"/>
            </a:rPr>
            <a:t> de la empresa a analizada siga los pasos siguientes: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1) </a:t>
          </a:r>
          <a:r>
            <a:rPr lang="en-US" cap="none" sz="1200" b="1" i="1" u="none" baseline="0">
              <a:solidFill>
                <a:srgbClr val="000000"/>
              </a:solidFill>
              <a:latin typeface="Arial"/>
              <a:ea typeface="Arial"/>
              <a:cs typeface="Arial"/>
            </a:rPr>
            <a:t>Configurar la página:
</a:t>
          </a:r>
          <a:r>
            <a:rPr lang="en-US" cap="none" sz="1200" b="1" i="1" u="none" baseline="0">
              <a:solidFill>
                <a:srgbClr val="000000"/>
              </a:solidFill>
              <a:latin typeface="Arial"/>
              <a:ea typeface="Arial"/>
              <a:cs typeface="Arial"/>
            </a:rPr>
            <a:t>                           - </a:t>
          </a:r>
          <a:r>
            <a:rPr lang="en-US" cap="none" sz="1200" b="0" i="0" u="none" baseline="0">
              <a:solidFill>
                <a:srgbClr val="000000"/>
              </a:solidFill>
              <a:latin typeface="Arial"/>
              <a:ea typeface="Arial"/>
              <a:cs typeface="Arial"/>
            </a:rPr>
            <a:t>según el tamaño de papel a utilizar: </a:t>
          </a:r>
          <a:r>
            <a:rPr lang="en-US" cap="none" sz="1200" b="1" i="1" u="none" baseline="0">
              <a:solidFill>
                <a:srgbClr val="000000"/>
              </a:solidFill>
              <a:latin typeface="Arial"/>
              <a:ea typeface="Arial"/>
              <a:cs typeface="Arial"/>
            </a:rPr>
            <a:t>Archivo/Configurar página/Página- Tamaño de papel   </a:t>
          </a:r>
          <a:r>
            <a:rPr lang="en-US" cap="none" sz="1200" b="0" i="0" u="none" baseline="0">
              <a:solidFill>
                <a:srgbClr val="000000"/>
              </a:solidFill>
              <a:latin typeface="Arial"/>
              <a:ea typeface="Arial"/>
              <a:cs typeface="Arial"/>
            </a:rPr>
            <a:t>seleccionando el que corresponda (por ejemplo A4)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luego  ajustar la escala 1 a 1:        </a:t>
          </a:r>
          <a:r>
            <a:rPr lang="en-US" cap="none" sz="1200" b="1" i="1" u="none" baseline="0">
              <a:solidFill>
                <a:srgbClr val="000000"/>
              </a:solidFill>
              <a:latin typeface="Arial"/>
              <a:ea typeface="Arial"/>
              <a:cs typeface="Arial"/>
            </a:rPr>
            <a:t>Archivo / Configurar página/Página - Escala  </a:t>
          </a:r>
          <a:r>
            <a:rPr lang="en-US" cap="none" sz="1200" b="0" i="0" u="none" baseline="0">
              <a:solidFill>
                <a:srgbClr val="000000"/>
              </a:solidFill>
              <a:latin typeface="Arial"/>
              <a:ea typeface="Arial"/>
              <a:cs typeface="Arial"/>
            </a:rPr>
            <a:t>seleccionado </a:t>
          </a:r>
          <a:r>
            <a:rPr lang="en-US" cap="none" sz="1200" b="1" i="1" u="none" baseline="0">
              <a:solidFill>
                <a:srgbClr val="000000"/>
              </a:solidFill>
              <a:latin typeface="Arial"/>
              <a:ea typeface="Arial"/>
              <a:cs typeface="Arial"/>
            </a:rPr>
            <a:t>Ajustar a 1 página de ancho  por 1 página de alto).</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2) Especificar la Impresora correspondiente en </a:t>
          </a:r>
          <a:r>
            <a:rPr lang="en-US" cap="none" sz="1200" b="1" i="1" u="none" baseline="0">
              <a:solidFill>
                <a:srgbClr val="000000"/>
              </a:solidFill>
              <a:latin typeface="Arial"/>
              <a:ea typeface="Arial"/>
              <a:cs typeface="Arial"/>
            </a:rPr>
            <a:t>Archivo / Imprimir/ Nombre</a:t>
          </a:r>
          <a:r>
            <a:rPr lang="en-US" cap="none" sz="1200" b="0" i="0" u="none" baseline="0">
              <a:solidFill>
                <a:srgbClr val="000000"/>
              </a:solidFill>
              <a:latin typeface="Arial"/>
              <a:ea typeface="Arial"/>
              <a:cs typeface="Arial"/>
            </a:rPr>
            <a:t> seleccionado la impresora que usted opera.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3) Una vez completados los pasos 1 y 2 vaya al Menú </a:t>
          </a:r>
          <a:r>
            <a:rPr lang="en-US" cap="none" sz="1200" b="1" i="0" u="none" baseline="0">
              <a:solidFill>
                <a:srgbClr val="000000"/>
              </a:solidFill>
              <a:latin typeface="Arial"/>
              <a:ea typeface="Arial"/>
              <a:cs typeface="Arial"/>
            </a:rPr>
            <a:t>TAMBO </a:t>
          </a:r>
          <a:r>
            <a:rPr lang="en-US" cap="none" sz="1200" b="0" i="0" u="none" baseline="0">
              <a:solidFill>
                <a:srgbClr val="000000"/>
              </a:solidFill>
              <a:latin typeface="Arial"/>
              <a:ea typeface="Arial"/>
              <a:cs typeface="Arial"/>
            </a:rPr>
            <a:t> (VI Impresión de la Encuesta o VII Impresión de resultados) y seleccione la opción a imprimir. Luego pulse con  mouse  el dibujo de la impresora en la barra de herramientas  o ingrese a  </a:t>
          </a:r>
          <a:r>
            <a:rPr lang="en-US" cap="none" sz="1200" b="1" i="1" u="none" baseline="0">
              <a:solidFill>
                <a:srgbClr val="000000"/>
              </a:solidFill>
              <a:latin typeface="Arial"/>
              <a:ea typeface="Arial"/>
              <a:cs typeface="Arial"/>
            </a:rPr>
            <a:t>Archivo / Imprimir / Aceptar.
</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Mucha suerte!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A1"/>
  <sheetViews>
    <sheetView showGridLines="0" tabSelected="1" zoomScale="60" zoomScaleNormal="60" zoomScalePageLayoutView="0" workbookViewId="0" topLeftCell="A1">
      <selection activeCell="K17" sqref="K17"/>
    </sheetView>
  </sheetViews>
  <sheetFormatPr defaultColWidth="11.19921875" defaultRowHeight="15"/>
  <cols>
    <col min="2" max="2" width="9.796875" style="0" customWidth="1"/>
  </cols>
  <sheetData/>
  <sheetProtection password="CF3C" sheet="1" objects="1" scenarios="1"/>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IP162"/>
  <sheetViews>
    <sheetView showGridLines="0" zoomScale="80" zoomScaleNormal="80" zoomScalePageLayoutView="0" workbookViewId="0" topLeftCell="A1">
      <selection activeCell="B35" sqref="B35"/>
    </sheetView>
  </sheetViews>
  <sheetFormatPr defaultColWidth="11.19921875" defaultRowHeight="15"/>
  <cols>
    <col min="1" max="1" width="19.3984375" style="0" customWidth="1"/>
    <col min="2" max="2" width="19.59765625" style="0" customWidth="1"/>
    <col min="3" max="3" width="15.3984375" style="0" customWidth="1"/>
    <col min="4" max="4" width="13.59765625" style="0" customWidth="1"/>
    <col min="5" max="5" width="21" style="0" bestFit="1" customWidth="1"/>
    <col min="6" max="6" width="11.19921875" style="0" customWidth="1"/>
    <col min="7" max="7" width="10.59765625" style="0" customWidth="1"/>
    <col min="8" max="8" width="7.19921875" style="0" customWidth="1"/>
    <col min="9" max="9" width="15.796875" style="0" customWidth="1"/>
    <col min="12" max="12" width="18.796875" style="0" customWidth="1"/>
    <col min="13" max="15" width="8.796875" style="0" customWidth="1"/>
    <col min="16" max="16" width="4.796875" style="0" customWidth="1"/>
    <col min="17" max="20" width="8.796875" style="0" customWidth="1"/>
    <col min="23" max="23" width="23.09765625" style="0" customWidth="1"/>
    <col min="24" max="28" width="7.796875" style="0" customWidth="1"/>
    <col min="29" max="29" width="5.19921875" style="0" customWidth="1"/>
    <col min="30" max="30" width="5.3984375" style="0" customWidth="1"/>
    <col min="31" max="32" width="7.796875" style="0" customWidth="1"/>
    <col min="33" max="33" width="7.8984375" style="0" customWidth="1"/>
    <col min="34" max="34" width="7.8984375" style="672" customWidth="1"/>
    <col min="35" max="35" width="35.19921875" style="0" customWidth="1"/>
    <col min="36" max="36" width="25.796875" style="0" customWidth="1"/>
    <col min="37" max="37" width="9.3984375" style="0" customWidth="1"/>
    <col min="39" max="39" width="3.19921875" style="0" customWidth="1"/>
    <col min="41" max="41" width="25.8984375" style="0" customWidth="1"/>
  </cols>
  <sheetData>
    <row r="1" spans="1:38" ht="24.75" customHeight="1">
      <c r="A1" s="6" t="s">
        <v>0</v>
      </c>
      <c r="B1" s="7"/>
      <c r="C1" s="7"/>
      <c r="D1" s="7"/>
      <c r="E1" s="7"/>
      <c r="F1" s="7"/>
      <c r="G1" s="7"/>
      <c r="H1" s="8"/>
      <c r="I1" s="9"/>
      <c r="L1" s="72" t="s">
        <v>1</v>
      </c>
      <c r="M1" s="9"/>
      <c r="N1" s="9"/>
      <c r="O1" s="9"/>
      <c r="P1" s="9"/>
      <c r="Q1" s="9"/>
      <c r="R1" s="9"/>
      <c r="S1" s="9"/>
      <c r="T1" s="9"/>
      <c r="U1" s="9"/>
      <c r="V1" s="9"/>
      <c r="W1" s="72" t="s">
        <v>2</v>
      </c>
      <c r="X1" s="20"/>
      <c r="Y1" s="20"/>
      <c r="Z1" s="20"/>
      <c r="AA1" s="20"/>
      <c r="AB1" s="20"/>
      <c r="AC1" s="20"/>
      <c r="AD1" s="9"/>
      <c r="AE1" s="20"/>
      <c r="AF1" s="20"/>
      <c r="AG1" s="9"/>
      <c r="AH1" s="1407"/>
      <c r="AJ1" s="72" t="s">
        <v>3</v>
      </c>
      <c r="AK1" s="9"/>
      <c r="AL1" s="9"/>
    </row>
    <row r="2" spans="1:42" ht="15">
      <c r="A2" s="290" t="s">
        <v>4</v>
      </c>
      <c r="B2" s="1331" t="s">
        <v>50</v>
      </c>
      <c r="C2" s="1332"/>
      <c r="D2" s="1332"/>
      <c r="E2" s="1332"/>
      <c r="F2" s="1332"/>
      <c r="G2" s="1332"/>
      <c r="H2" s="1333"/>
      <c r="L2" s="20"/>
      <c r="M2" s="21"/>
      <c r="N2" s="21"/>
      <c r="O2" s="21"/>
      <c r="P2" s="21"/>
      <c r="Q2" s="21"/>
      <c r="R2" s="21"/>
      <c r="S2" s="21"/>
      <c r="T2" s="21"/>
      <c r="U2" s="9"/>
      <c r="V2" s="9"/>
      <c r="W2" s="52" t="s">
        <v>5</v>
      </c>
      <c r="X2" s="53"/>
      <c r="Y2" s="53"/>
      <c r="Z2" s="53"/>
      <c r="AA2" s="53"/>
      <c r="AB2" s="53"/>
      <c r="AC2" s="54"/>
      <c r="AD2" s="55"/>
      <c r="AE2" s="53"/>
      <c r="AF2" s="53"/>
      <c r="AG2" s="53"/>
      <c r="AH2" s="1408"/>
      <c r="AJ2" s="320"/>
      <c r="AK2" s="320"/>
      <c r="AL2" s="321" t="s">
        <v>6</v>
      </c>
      <c r="AN2" s="322"/>
      <c r="AO2" s="314"/>
      <c r="AP2" s="323" t="s">
        <v>7</v>
      </c>
    </row>
    <row r="3" spans="1:42" ht="15">
      <c r="A3" s="291" t="s">
        <v>8</v>
      </c>
      <c r="B3" s="1325" t="s">
        <v>1145</v>
      </c>
      <c r="C3" s="1326"/>
      <c r="D3" s="1326"/>
      <c r="E3" s="1326"/>
      <c r="F3" s="1326"/>
      <c r="G3" s="1326"/>
      <c r="H3" s="1327"/>
      <c r="L3" s="20"/>
      <c r="M3" s="309" t="s">
        <v>9</v>
      </c>
      <c r="N3" s="310"/>
      <c r="O3" s="310"/>
      <c r="P3" s="310"/>
      <c r="Q3" s="310"/>
      <c r="R3" s="309" t="s">
        <v>10</v>
      </c>
      <c r="S3" s="311"/>
      <c r="T3" s="312"/>
      <c r="U3" s="9"/>
      <c r="V3" s="9"/>
      <c r="W3" s="56" t="s">
        <v>11</v>
      </c>
      <c r="X3" s="53"/>
      <c r="Y3" s="53"/>
      <c r="Z3" s="53"/>
      <c r="AA3" s="53"/>
      <c r="AB3" s="53"/>
      <c r="AC3" s="53"/>
      <c r="AD3" s="55"/>
      <c r="AE3" s="53"/>
      <c r="AF3" s="53"/>
      <c r="AG3" s="53"/>
      <c r="AH3" s="1408"/>
      <c r="AJ3" s="22" t="s">
        <v>12</v>
      </c>
      <c r="AK3" s="23" t="s">
        <v>13</v>
      </c>
      <c r="AL3" s="429">
        <f>+O41*0.02</f>
        <v>0</v>
      </c>
      <c r="AN3" s="240" t="s">
        <v>14</v>
      </c>
      <c r="AO3" s="168"/>
      <c r="AP3" s="390">
        <v>0</v>
      </c>
    </row>
    <row r="4" spans="1:42" ht="15">
      <c r="A4" s="291" t="s">
        <v>15</v>
      </c>
      <c r="B4" s="1325">
        <v>0</v>
      </c>
      <c r="C4" s="1326"/>
      <c r="D4" s="1326"/>
      <c r="E4" s="1326"/>
      <c r="F4" s="1326"/>
      <c r="G4" s="1326"/>
      <c r="H4" s="1327"/>
      <c r="L4" s="302" t="s">
        <v>16</v>
      </c>
      <c r="M4" s="303" t="s">
        <v>17</v>
      </c>
      <c r="N4" s="304" t="s">
        <v>18</v>
      </c>
      <c r="O4" s="305" t="s">
        <v>19</v>
      </c>
      <c r="P4" s="305" t="s">
        <v>20</v>
      </c>
      <c r="Q4" s="304" t="s">
        <v>21</v>
      </c>
      <c r="R4" s="306" t="s">
        <v>17</v>
      </c>
      <c r="S4" s="307" t="s">
        <v>18</v>
      </c>
      <c r="T4" s="308" t="s">
        <v>19</v>
      </c>
      <c r="U4" s="9"/>
      <c r="V4" s="9"/>
      <c r="W4" s="174"/>
      <c r="X4" s="328" t="str">
        <f>M3</f>
        <v>MES 1</v>
      </c>
      <c r="Y4" s="329"/>
      <c r="Z4" s="329"/>
      <c r="AA4" s="329"/>
      <c r="AB4" s="329"/>
      <c r="AC4" s="329"/>
      <c r="AD4" s="330"/>
      <c r="AE4" s="328"/>
      <c r="AF4" s="673" t="s">
        <v>10</v>
      </c>
      <c r="AG4" s="674"/>
      <c r="AH4" s="1409"/>
      <c r="AJ4" s="12" t="s">
        <v>22</v>
      </c>
      <c r="AK4" s="74" t="s">
        <v>13</v>
      </c>
      <c r="AL4" s="75">
        <v>0</v>
      </c>
      <c r="AN4" s="239" t="s">
        <v>23</v>
      </c>
      <c r="AO4" s="99"/>
      <c r="AP4" s="144"/>
    </row>
    <row r="5" spans="1:42" ht="15">
      <c r="A5" s="291" t="s">
        <v>24</v>
      </c>
      <c r="B5" s="1325">
        <v>0</v>
      </c>
      <c r="C5" s="1326"/>
      <c r="D5" s="1326"/>
      <c r="E5" s="1326"/>
      <c r="F5" s="1326"/>
      <c r="G5" s="1326"/>
      <c r="H5" s="1327"/>
      <c r="L5" s="71" t="s">
        <v>25</v>
      </c>
      <c r="M5" s="26"/>
      <c r="N5" s="27"/>
      <c r="O5" s="27"/>
      <c r="P5" s="27"/>
      <c r="Q5" s="27"/>
      <c r="R5" s="28"/>
      <c r="S5" s="29"/>
      <c r="T5" s="30"/>
      <c r="U5" s="9"/>
      <c r="V5" s="9"/>
      <c r="W5" s="313" t="s">
        <v>16</v>
      </c>
      <c r="X5" s="306" t="str">
        <f>M4</f>
        <v>$/unidad</v>
      </c>
      <c r="Y5" s="314" t="str">
        <f>N4</f>
        <v>Cant.</v>
      </c>
      <c r="Z5" s="314" t="s">
        <v>19</v>
      </c>
      <c r="AA5" s="314" t="s">
        <v>26</v>
      </c>
      <c r="AB5" s="314" t="s">
        <v>27</v>
      </c>
      <c r="AC5" s="314" t="s">
        <v>28</v>
      </c>
      <c r="AD5" s="314" t="s">
        <v>29</v>
      </c>
      <c r="AE5" s="306" t="str">
        <f>R4</f>
        <v>$/unidad</v>
      </c>
      <c r="AF5" s="315" t="s">
        <v>18</v>
      </c>
      <c r="AG5" s="316" t="str">
        <f>Z5</f>
        <v>VN</v>
      </c>
      <c r="AH5" s="710"/>
      <c r="AJ5" s="32" t="s">
        <v>30</v>
      </c>
      <c r="AK5" s="74" t="s">
        <v>13</v>
      </c>
      <c r="AL5" s="75">
        <v>0</v>
      </c>
      <c r="AN5" s="16" t="s">
        <v>31</v>
      </c>
      <c r="AO5" s="99"/>
      <c r="AP5" s="17">
        <v>0</v>
      </c>
    </row>
    <row r="6" spans="1:42" ht="15">
      <c r="A6" s="291" t="s">
        <v>32</v>
      </c>
      <c r="B6" s="1325">
        <v>0</v>
      </c>
      <c r="C6" s="1326"/>
      <c r="D6" s="1326"/>
      <c r="E6" s="1326"/>
      <c r="F6" s="1326"/>
      <c r="G6" s="1326"/>
      <c r="H6" s="1327"/>
      <c r="L6" s="28"/>
      <c r="M6" s="28"/>
      <c r="N6" s="20"/>
      <c r="O6" s="20"/>
      <c r="P6" s="20"/>
      <c r="Q6" s="31"/>
      <c r="R6" s="28"/>
      <c r="S6" s="29"/>
      <c r="T6" s="30"/>
      <c r="U6" s="9"/>
      <c r="V6" s="9"/>
      <c r="W6" s="271" t="s">
        <v>33</v>
      </c>
      <c r="X6" s="33">
        <v>0</v>
      </c>
      <c r="Y6" s="49">
        <v>0</v>
      </c>
      <c r="Z6" s="424">
        <f>+X6*Y6</f>
        <v>0</v>
      </c>
      <c r="AA6" s="40">
        <v>0</v>
      </c>
      <c r="AB6" s="424">
        <f>IF(AD6&lt;=AC6,Z6*(1-0.3)/AC6,AA6/5)</f>
        <v>0</v>
      </c>
      <c r="AC6" s="43">
        <v>12</v>
      </c>
      <c r="AD6" s="40">
        <v>0</v>
      </c>
      <c r="AE6" s="48">
        <v>0</v>
      </c>
      <c r="AF6" s="49">
        <v>0</v>
      </c>
      <c r="AG6" s="426">
        <f>+AE6*AF6</f>
        <v>0</v>
      </c>
      <c r="AH6" s="1410">
        <f>IF(AD6&gt;0,1,0)</f>
        <v>0</v>
      </c>
      <c r="AJ6" s="12" t="s">
        <v>34</v>
      </c>
      <c r="AK6" s="74" t="s">
        <v>13</v>
      </c>
      <c r="AL6" s="75">
        <v>0</v>
      </c>
      <c r="AN6" s="662" t="s">
        <v>35</v>
      </c>
      <c r="AO6" s="182"/>
      <c r="AP6" s="17">
        <v>0</v>
      </c>
    </row>
    <row r="7" spans="1:42" ht="15">
      <c r="A7" s="291" t="s">
        <v>36</v>
      </c>
      <c r="B7" s="1325">
        <v>0</v>
      </c>
      <c r="C7" s="1326"/>
      <c r="D7" s="1326"/>
      <c r="E7" s="1326"/>
      <c r="F7" s="1326"/>
      <c r="G7" s="1326"/>
      <c r="H7" s="1327"/>
      <c r="L7" s="32" t="s">
        <v>37</v>
      </c>
      <c r="M7" s="28"/>
      <c r="N7" s="20"/>
      <c r="O7" s="20"/>
      <c r="P7" s="20"/>
      <c r="Q7" s="31"/>
      <c r="R7" s="28"/>
      <c r="S7" s="29"/>
      <c r="T7" s="30"/>
      <c r="U7" s="9"/>
      <c r="V7" s="9"/>
      <c r="W7" s="271" t="s">
        <v>33</v>
      </c>
      <c r="X7" s="33">
        <v>0</v>
      </c>
      <c r="Y7" s="49">
        <v>0</v>
      </c>
      <c r="Z7" s="424">
        <f>+X7*Y7</f>
        <v>0</v>
      </c>
      <c r="AA7" s="40">
        <v>0</v>
      </c>
      <c r="AB7" s="424">
        <f>IF(AD7&lt;=AC7,Z7*(1-0.3)/AC7,AA7/5)</f>
        <v>0</v>
      </c>
      <c r="AC7" s="40">
        <v>12</v>
      </c>
      <c r="AD7" s="40">
        <v>0</v>
      </c>
      <c r="AE7" s="48">
        <v>0</v>
      </c>
      <c r="AF7" s="49">
        <v>0</v>
      </c>
      <c r="AG7" s="426">
        <f>+AE7*AF7</f>
        <v>0</v>
      </c>
      <c r="AH7" s="1410">
        <f>IF(AD7&gt;0,1,0)</f>
        <v>0</v>
      </c>
      <c r="AJ7" s="32" t="s">
        <v>38</v>
      </c>
      <c r="AK7" s="74" t="s">
        <v>13</v>
      </c>
      <c r="AL7" s="75">
        <v>0</v>
      </c>
      <c r="AN7" s="662" t="s">
        <v>39</v>
      </c>
      <c r="AO7" s="182"/>
      <c r="AP7" s="17">
        <v>0</v>
      </c>
    </row>
    <row r="8" spans="1:42" ht="15">
      <c r="A8" s="291" t="s">
        <v>40</v>
      </c>
      <c r="B8" s="1325">
        <v>0</v>
      </c>
      <c r="C8" s="1326"/>
      <c r="D8" s="1326"/>
      <c r="E8" s="1326"/>
      <c r="F8" s="1326"/>
      <c r="G8" s="1326"/>
      <c r="H8" s="1327"/>
      <c r="L8" s="32" t="s">
        <v>41</v>
      </c>
      <c r="M8" s="33">
        <v>0</v>
      </c>
      <c r="N8" s="34">
        <v>0</v>
      </c>
      <c r="O8" s="419">
        <f>+M8*N8</f>
        <v>0</v>
      </c>
      <c r="P8" s="20"/>
      <c r="Q8" s="421"/>
      <c r="R8" s="33">
        <v>0</v>
      </c>
      <c r="S8" s="34">
        <v>0</v>
      </c>
      <c r="T8" s="422">
        <f>+S8*R8</f>
        <v>0</v>
      </c>
      <c r="U8" s="9"/>
      <c r="V8" s="9"/>
      <c r="W8" s="270" t="s">
        <v>42</v>
      </c>
      <c r="X8" s="33">
        <v>0</v>
      </c>
      <c r="Y8" s="49">
        <v>0</v>
      </c>
      <c r="Z8" s="424">
        <f>+X8*Y8</f>
        <v>0</v>
      </c>
      <c r="AA8" s="40">
        <v>0</v>
      </c>
      <c r="AB8" s="424">
        <f>IF(AD8&lt;=AC8,Z8*(1-0.3)/AC8,AA8/5)</f>
        <v>0</v>
      </c>
      <c r="AC8" s="40">
        <v>12</v>
      </c>
      <c r="AD8" s="40">
        <v>0</v>
      </c>
      <c r="AE8" s="48">
        <v>0</v>
      </c>
      <c r="AF8" s="49">
        <v>0</v>
      </c>
      <c r="AG8" s="426">
        <f>+AE8*AF8</f>
        <v>0</v>
      </c>
      <c r="AH8" s="1410">
        <f>IF(AD8&gt;0,1,0)</f>
        <v>0</v>
      </c>
      <c r="AJ8" s="32" t="s">
        <v>43</v>
      </c>
      <c r="AK8" s="74" t="s">
        <v>13</v>
      </c>
      <c r="AL8" s="75">
        <v>0</v>
      </c>
      <c r="AN8" s="662" t="s">
        <v>39</v>
      </c>
      <c r="AO8" s="182"/>
      <c r="AP8" s="17">
        <v>0</v>
      </c>
    </row>
    <row r="9" spans="1:42" ht="15">
      <c r="A9" s="291" t="s">
        <v>44</v>
      </c>
      <c r="B9" s="1325">
        <v>0</v>
      </c>
      <c r="C9" s="1326"/>
      <c r="D9" s="1326"/>
      <c r="E9" s="1326"/>
      <c r="F9" s="1326"/>
      <c r="G9" s="1326"/>
      <c r="H9" s="1327"/>
      <c r="L9" s="32" t="s">
        <v>45</v>
      </c>
      <c r="M9" s="33">
        <v>0</v>
      </c>
      <c r="N9" s="34">
        <v>0</v>
      </c>
      <c r="O9" s="419">
        <f>+M9*N9</f>
        <v>0</v>
      </c>
      <c r="P9" s="20"/>
      <c r="Q9" s="421"/>
      <c r="R9" s="33">
        <v>0</v>
      </c>
      <c r="S9" s="34">
        <v>0</v>
      </c>
      <c r="T9" s="422">
        <f aca="true" t="shared" si="0" ref="T9:T33">+S9*R9</f>
        <v>0</v>
      </c>
      <c r="U9" s="9"/>
      <c r="V9" s="9"/>
      <c r="W9" s="270" t="s">
        <v>42</v>
      </c>
      <c r="X9" s="33">
        <v>0</v>
      </c>
      <c r="Y9" s="49">
        <v>0</v>
      </c>
      <c r="Z9" s="424">
        <f>+X9*Y9</f>
        <v>0</v>
      </c>
      <c r="AA9" s="40">
        <v>0</v>
      </c>
      <c r="AB9" s="424">
        <f>IF(AD9&lt;=AC9,Z9*(1-0.3)/AC9,AA9/5)</f>
        <v>0</v>
      </c>
      <c r="AC9" s="40">
        <v>12</v>
      </c>
      <c r="AD9" s="40">
        <v>0</v>
      </c>
      <c r="AE9" s="48">
        <v>0</v>
      </c>
      <c r="AF9" s="49">
        <v>0</v>
      </c>
      <c r="AG9" s="426">
        <f>+AE9*AF9</f>
        <v>0</v>
      </c>
      <c r="AH9" s="1410">
        <f>IF(AD9&gt;0,1,0)</f>
        <v>0</v>
      </c>
      <c r="AJ9" s="12" t="s">
        <v>46</v>
      </c>
      <c r="AK9" s="76">
        <v>0</v>
      </c>
      <c r="AL9" s="75">
        <v>0</v>
      </c>
      <c r="AN9" s="324" t="s">
        <v>47</v>
      </c>
      <c r="AO9" s="325"/>
      <c r="AP9" s="430">
        <f>SUM(AP5:AP8)</f>
        <v>0</v>
      </c>
    </row>
    <row r="10" spans="1:38" ht="15">
      <c r="A10" s="291" t="s">
        <v>48</v>
      </c>
      <c r="B10" s="1325">
        <v>0</v>
      </c>
      <c r="C10" s="1326"/>
      <c r="D10" s="1326"/>
      <c r="E10" s="1326"/>
      <c r="F10" s="1326"/>
      <c r="G10" s="1326"/>
      <c r="H10" s="1327"/>
      <c r="L10" s="32" t="s">
        <v>49</v>
      </c>
      <c r="M10" s="28"/>
      <c r="N10" s="19" t="s">
        <v>50</v>
      </c>
      <c r="O10" s="419"/>
      <c r="P10" s="20"/>
      <c r="Q10" s="421"/>
      <c r="R10" s="35"/>
      <c r="S10" s="36"/>
      <c r="T10" s="422">
        <f t="shared" si="0"/>
        <v>0</v>
      </c>
      <c r="U10" s="9"/>
      <c r="V10" s="9"/>
      <c r="W10" s="272" t="s">
        <v>51</v>
      </c>
      <c r="X10" s="61">
        <v>0</v>
      </c>
      <c r="Y10" s="62">
        <v>0</v>
      </c>
      <c r="Z10" s="425">
        <f>+X10*Y10</f>
        <v>0</v>
      </c>
      <c r="AA10" s="63">
        <v>0</v>
      </c>
      <c r="AB10" s="425">
        <f>IF(AD10&lt;=AC10,Z10*(1-0.3)/AC10,AA10/5)</f>
        <v>0</v>
      </c>
      <c r="AC10" s="63">
        <v>12</v>
      </c>
      <c r="AD10" s="63">
        <v>0</v>
      </c>
      <c r="AE10" s="64">
        <v>0</v>
      </c>
      <c r="AF10" s="62">
        <v>0</v>
      </c>
      <c r="AG10" s="427">
        <f>+AE10*AF10</f>
        <v>0</v>
      </c>
      <c r="AH10" s="1410">
        <f>IF(AD10&gt;0,1,0)</f>
        <v>0</v>
      </c>
      <c r="AJ10" s="116" t="s">
        <v>52</v>
      </c>
      <c r="AK10" s="76">
        <v>0</v>
      </c>
      <c r="AL10" s="75">
        <v>0</v>
      </c>
    </row>
    <row r="11" spans="1:42" ht="15">
      <c r="A11" s="292"/>
      <c r="B11" s="1328">
        <v>0</v>
      </c>
      <c r="C11" s="1329"/>
      <c r="D11" s="1329"/>
      <c r="E11" s="1329"/>
      <c r="F11" s="1329"/>
      <c r="G11" s="1329"/>
      <c r="H11" s="1330"/>
      <c r="L11" s="12" t="s">
        <v>53</v>
      </c>
      <c r="M11" s="37">
        <v>0</v>
      </c>
      <c r="N11" s="34">
        <v>0</v>
      </c>
      <c r="O11" s="419">
        <f>+M11*N11</f>
        <v>0</v>
      </c>
      <c r="P11" s="34">
        <v>50</v>
      </c>
      <c r="Q11" s="419">
        <f>IF(P11=0,0,O11/P11)</f>
        <v>0</v>
      </c>
      <c r="R11" s="38">
        <v>0</v>
      </c>
      <c r="S11" s="34">
        <v>0</v>
      </c>
      <c r="T11" s="422">
        <f t="shared" si="0"/>
        <v>0</v>
      </c>
      <c r="U11" s="9"/>
      <c r="V11" s="9"/>
      <c r="W11" s="9" t="s">
        <v>54</v>
      </c>
      <c r="X11" s="65">
        <v>0</v>
      </c>
      <c r="Y11" s="9"/>
      <c r="Z11" s="40"/>
      <c r="AA11" s="66"/>
      <c r="AB11" s="9"/>
      <c r="AD11" s="9"/>
      <c r="AE11" s="9"/>
      <c r="AF11" s="9"/>
      <c r="AG11" s="9"/>
      <c r="AH11" s="1405"/>
      <c r="AJ11" s="116" t="s">
        <v>55</v>
      </c>
      <c r="AK11" s="76">
        <v>0</v>
      </c>
      <c r="AL11" s="75">
        <v>0</v>
      </c>
      <c r="AN11" s="665" t="s">
        <v>56</v>
      </c>
      <c r="AO11" s="666"/>
      <c r="AP11" s="323" t="s">
        <v>7</v>
      </c>
    </row>
    <row r="12" spans="1:42" ht="15">
      <c r="A12" s="1308"/>
      <c r="B12" s="1334" t="s">
        <v>57</v>
      </c>
      <c r="C12" s="1334"/>
      <c r="D12" s="1334"/>
      <c r="E12" s="1334"/>
      <c r="F12" s="1334"/>
      <c r="G12" s="1334"/>
      <c r="H12" s="1335"/>
      <c r="I12" s="9"/>
      <c r="L12" s="32" t="s">
        <v>58</v>
      </c>
      <c r="M12" s="37">
        <v>0</v>
      </c>
      <c r="N12" s="34">
        <v>0</v>
      </c>
      <c r="O12" s="419">
        <f>+M12*N12</f>
        <v>0</v>
      </c>
      <c r="P12" s="34">
        <v>50</v>
      </c>
      <c r="Q12" s="419">
        <f>IF(P12=0,0,O12/P12)</f>
        <v>0</v>
      </c>
      <c r="R12" s="38">
        <v>0</v>
      </c>
      <c r="S12" s="34">
        <v>0</v>
      </c>
      <c r="T12" s="422">
        <f t="shared" si="0"/>
        <v>0</v>
      </c>
      <c r="U12" s="9"/>
      <c r="V12" s="9"/>
      <c r="W12" s="9"/>
      <c r="X12" s="9"/>
      <c r="Y12" s="9"/>
      <c r="Z12" s="40"/>
      <c r="AA12" s="40"/>
      <c r="AB12" s="9"/>
      <c r="AD12" s="9"/>
      <c r="AE12" s="9"/>
      <c r="AF12" s="20"/>
      <c r="AG12" s="20"/>
      <c r="AH12" s="1405"/>
      <c r="AJ12" s="12" t="s">
        <v>59</v>
      </c>
      <c r="AK12" s="74" t="s">
        <v>13</v>
      </c>
      <c r="AL12" s="948">
        <v>0</v>
      </c>
      <c r="AN12" s="662" t="s">
        <v>1217</v>
      </c>
      <c r="AO12" s="182"/>
      <c r="AP12" s="17">
        <v>0</v>
      </c>
    </row>
    <row r="13" spans="1:42" ht="15">
      <c r="A13" s="293" t="s">
        <v>60</v>
      </c>
      <c r="B13" s="1331">
        <v>0</v>
      </c>
      <c r="C13" s="1332"/>
      <c r="D13" s="1332"/>
      <c r="E13" s="1332"/>
      <c r="F13" s="1332"/>
      <c r="G13" s="1332"/>
      <c r="H13" s="1333"/>
      <c r="I13" s="9"/>
      <c r="L13" s="32" t="s">
        <v>61</v>
      </c>
      <c r="M13" s="37">
        <v>0</v>
      </c>
      <c r="N13" s="34">
        <v>0</v>
      </c>
      <c r="O13" s="419">
        <f>+M13*N13</f>
        <v>0</v>
      </c>
      <c r="P13" s="34">
        <v>50</v>
      </c>
      <c r="Q13" s="419">
        <f>IF(P13=0,0,O13/P13)</f>
        <v>0</v>
      </c>
      <c r="R13" s="38">
        <v>0</v>
      </c>
      <c r="S13" s="34">
        <v>0</v>
      </c>
      <c r="T13" s="422">
        <f t="shared" si="0"/>
        <v>0</v>
      </c>
      <c r="U13" s="9"/>
      <c r="V13" s="9"/>
      <c r="W13" s="19"/>
      <c r="X13" s="20"/>
      <c r="Y13" s="20"/>
      <c r="Z13" s="20"/>
      <c r="AA13" s="20"/>
      <c r="AB13" s="20"/>
      <c r="AD13" s="20"/>
      <c r="AE13" s="9"/>
      <c r="AF13" s="20"/>
      <c r="AG13" s="20"/>
      <c r="AH13" s="1405"/>
      <c r="AJ13" s="16" t="s">
        <v>62</v>
      </c>
      <c r="AK13" s="1439">
        <f>+F39+F40</f>
        <v>0</v>
      </c>
      <c r="AL13" s="13"/>
      <c r="AN13" s="662" t="s">
        <v>39</v>
      </c>
      <c r="AO13" s="182"/>
      <c r="AP13" s="17">
        <v>0</v>
      </c>
    </row>
    <row r="14" spans="1:42" ht="15">
      <c r="A14" s="294" t="s">
        <v>40</v>
      </c>
      <c r="B14" s="1325">
        <v>0</v>
      </c>
      <c r="C14" s="1326"/>
      <c r="D14" s="1326"/>
      <c r="E14" s="1326"/>
      <c r="F14" s="1326"/>
      <c r="G14" s="1326"/>
      <c r="H14" s="1327"/>
      <c r="I14" s="9"/>
      <c r="L14" s="32" t="s">
        <v>63</v>
      </c>
      <c r="M14" s="37">
        <v>0</v>
      </c>
      <c r="N14" s="34">
        <v>0</v>
      </c>
      <c r="O14" s="419">
        <f>+M14*N14</f>
        <v>0</v>
      </c>
      <c r="P14" s="34">
        <v>30</v>
      </c>
      <c r="Q14" s="419">
        <f>IF(P14=0,0,O14/P14)</f>
        <v>0</v>
      </c>
      <c r="R14" s="38">
        <v>0</v>
      </c>
      <c r="S14" s="34">
        <v>0</v>
      </c>
      <c r="T14" s="422">
        <f t="shared" si="0"/>
        <v>0</v>
      </c>
      <c r="U14" s="9"/>
      <c r="V14" s="9"/>
      <c r="W14" s="20"/>
      <c r="X14" s="20"/>
      <c r="Y14" s="20"/>
      <c r="Z14" s="20"/>
      <c r="AA14" s="20"/>
      <c r="AB14" s="20"/>
      <c r="AD14" s="20"/>
      <c r="AE14" s="9"/>
      <c r="AF14" s="20"/>
      <c r="AG14" s="20"/>
      <c r="AH14" s="1405"/>
      <c r="AJ14" s="32" t="s">
        <v>64</v>
      </c>
      <c r="AK14" s="74" t="s">
        <v>13</v>
      </c>
      <c r="AL14" s="75">
        <v>0</v>
      </c>
      <c r="AN14" s="662" t="s">
        <v>39</v>
      </c>
      <c r="AO14" s="182"/>
      <c r="AP14" s="17">
        <v>0</v>
      </c>
    </row>
    <row r="15" spans="1:42" ht="15">
      <c r="A15" s="294" t="s">
        <v>44</v>
      </c>
      <c r="B15" s="1325">
        <v>0</v>
      </c>
      <c r="C15" s="1326"/>
      <c r="D15" s="1326"/>
      <c r="E15" s="1326"/>
      <c r="F15" s="1326"/>
      <c r="G15" s="1326"/>
      <c r="H15" s="1327"/>
      <c r="I15" s="9"/>
      <c r="L15" s="32" t="s">
        <v>65</v>
      </c>
      <c r="M15" s="28"/>
      <c r="N15" s="20"/>
      <c r="O15" s="419"/>
      <c r="P15" s="19" t="s">
        <v>50</v>
      </c>
      <c r="Q15" s="421"/>
      <c r="R15" s="35"/>
      <c r="S15" s="39"/>
      <c r="T15" s="422"/>
      <c r="U15" s="9"/>
      <c r="V15" s="9"/>
      <c r="W15" s="174"/>
      <c r="X15" s="328" t="str">
        <f>M3</f>
        <v>MES 1</v>
      </c>
      <c r="Y15" s="329"/>
      <c r="Z15" s="329"/>
      <c r="AA15" s="329"/>
      <c r="AB15" s="329"/>
      <c r="AC15" s="329"/>
      <c r="AD15" s="330"/>
      <c r="AE15" s="328"/>
      <c r="AF15" s="673" t="s">
        <v>10</v>
      </c>
      <c r="AG15" s="674"/>
      <c r="AH15" s="1405"/>
      <c r="AJ15" s="12" t="s">
        <v>66</v>
      </c>
      <c r="AK15" s="74" t="s">
        <v>13</v>
      </c>
      <c r="AL15" s="75">
        <v>0</v>
      </c>
      <c r="AN15" s="324" t="s">
        <v>67</v>
      </c>
      <c r="AO15" s="325"/>
      <c r="AP15" s="430">
        <f>SUM(AP12:AP14)</f>
        <v>0</v>
      </c>
    </row>
    <row r="16" spans="1:42" ht="15">
      <c r="A16" s="295" t="s">
        <v>48</v>
      </c>
      <c r="B16" s="1357">
        <v>0</v>
      </c>
      <c r="C16" s="1358"/>
      <c r="D16" s="1358"/>
      <c r="E16" s="1358"/>
      <c r="F16" s="1358"/>
      <c r="G16" s="1358"/>
      <c r="H16" s="1359"/>
      <c r="L16" s="32" t="s">
        <v>68</v>
      </c>
      <c r="M16" s="33">
        <v>0</v>
      </c>
      <c r="N16" s="40">
        <v>0</v>
      </c>
      <c r="O16" s="419">
        <f aca="true" t="shared" si="1" ref="O16:O27">+M16*N16</f>
        <v>0</v>
      </c>
      <c r="P16" s="34">
        <v>40</v>
      </c>
      <c r="Q16" s="419">
        <f>IF(P16=0,0,O16/P16)</f>
        <v>0</v>
      </c>
      <c r="R16" s="33">
        <v>0</v>
      </c>
      <c r="S16" s="34">
        <v>0</v>
      </c>
      <c r="T16" s="422">
        <f t="shared" si="0"/>
        <v>0</v>
      </c>
      <c r="U16" s="9"/>
      <c r="V16" s="9"/>
      <c r="W16" s="302" t="s">
        <v>16</v>
      </c>
      <c r="X16" s="303" t="str">
        <f>M4</f>
        <v>$/unidad</v>
      </c>
      <c r="Y16" s="305" t="s">
        <v>18</v>
      </c>
      <c r="Z16" s="305" t="s">
        <v>19</v>
      </c>
      <c r="AA16" s="305" t="str">
        <f>+AA5</f>
        <v>V.Actual</v>
      </c>
      <c r="AB16" s="305" t="s">
        <v>27</v>
      </c>
      <c r="AC16" s="314" t="s">
        <v>28</v>
      </c>
      <c r="AD16" s="305" t="s">
        <v>29</v>
      </c>
      <c r="AE16" s="317" t="str">
        <f>X16</f>
        <v>$/unidad</v>
      </c>
      <c r="AF16" s="318" t="s">
        <v>18</v>
      </c>
      <c r="AG16" s="319" t="str">
        <f>Z16</f>
        <v>VN</v>
      </c>
      <c r="AH16" s="1405"/>
      <c r="AJ16" s="16" t="s">
        <v>62</v>
      </c>
      <c r="AK16" s="1439">
        <f>+F37+F38</f>
        <v>0</v>
      </c>
      <c r="AL16" s="13"/>
      <c r="AN16" s="663"/>
      <c r="AO16" s="663"/>
      <c r="AP16" s="663"/>
    </row>
    <row r="17" spans="1:42" ht="15">
      <c r="A17" s="921"/>
      <c r="B17" s="921"/>
      <c r="C17" s="921"/>
      <c r="D17" s="921"/>
      <c r="E17" s="921"/>
      <c r="F17" s="921"/>
      <c r="G17" s="921"/>
      <c r="L17" s="32" t="s">
        <v>69</v>
      </c>
      <c r="M17" s="33">
        <v>0</v>
      </c>
      <c r="N17" s="40">
        <v>0</v>
      </c>
      <c r="O17" s="419">
        <f t="shared" si="1"/>
        <v>0</v>
      </c>
      <c r="P17" s="34">
        <v>40</v>
      </c>
      <c r="Q17" s="419">
        <f aca="true" t="shared" si="2" ref="Q17:Q33">IF(P17=0,0,O17/P17)</f>
        <v>0</v>
      </c>
      <c r="R17" s="33">
        <v>0</v>
      </c>
      <c r="S17" s="34">
        <v>0</v>
      </c>
      <c r="T17" s="422">
        <f t="shared" si="0"/>
        <v>0</v>
      </c>
      <c r="U17" s="9"/>
      <c r="V17" s="9"/>
      <c r="W17" s="22" t="s">
        <v>70</v>
      </c>
      <c r="X17" s="26"/>
      <c r="Y17" s="27"/>
      <c r="Z17" s="27"/>
      <c r="AA17" s="27"/>
      <c r="AB17" s="27"/>
      <c r="AD17" s="27"/>
      <c r="AE17" s="26"/>
      <c r="AF17" s="264"/>
      <c r="AG17" s="57"/>
      <c r="AH17" s="1405"/>
      <c r="AJ17" s="32" t="s">
        <v>71</v>
      </c>
      <c r="AK17" s="74" t="s">
        <v>13</v>
      </c>
      <c r="AL17" s="75">
        <v>0</v>
      </c>
      <c r="AN17" s="663"/>
      <c r="AO17" s="664"/>
      <c r="AP17" s="663"/>
    </row>
    <row r="18" spans="1:38" ht="15">
      <c r="A18" s="1353" t="s">
        <v>72</v>
      </c>
      <c r="B18" s="1491" t="s">
        <v>73</v>
      </c>
      <c r="C18" s="297"/>
      <c r="D18" s="10">
        <v>0</v>
      </c>
      <c r="E18" s="11" t="s">
        <v>74</v>
      </c>
      <c r="F18" s="251" t="s">
        <v>75</v>
      </c>
      <c r="L18" s="12" t="s">
        <v>76</v>
      </c>
      <c r="M18" s="33">
        <v>0</v>
      </c>
      <c r="N18" s="40">
        <v>0</v>
      </c>
      <c r="O18" s="419">
        <f t="shared" si="1"/>
        <v>0</v>
      </c>
      <c r="P18" s="34">
        <v>40</v>
      </c>
      <c r="Q18" s="419">
        <f t="shared" si="2"/>
        <v>0</v>
      </c>
      <c r="R18" s="33">
        <v>0</v>
      </c>
      <c r="S18" s="34">
        <v>0</v>
      </c>
      <c r="T18" s="422">
        <f t="shared" si="0"/>
        <v>0</v>
      </c>
      <c r="U18" s="9"/>
      <c r="V18" s="9"/>
      <c r="W18" s="270" t="s">
        <v>77</v>
      </c>
      <c r="X18" s="33">
        <v>0</v>
      </c>
      <c r="Y18" s="49">
        <v>0</v>
      </c>
      <c r="Z18" s="419">
        <f>+Y18*X18</f>
        <v>0</v>
      </c>
      <c r="AA18" s="40">
        <v>0</v>
      </c>
      <c r="AB18" s="424">
        <f>IF(AD18&lt;=AC18,Z18*(1-0.1)/AC18,AA18/8)</f>
        <v>0</v>
      </c>
      <c r="AC18" s="34">
        <v>15</v>
      </c>
      <c r="AD18" s="34">
        <v>0</v>
      </c>
      <c r="AE18" s="48">
        <v>0</v>
      </c>
      <c r="AF18" s="49">
        <v>0</v>
      </c>
      <c r="AG18" s="426">
        <f>+AE18*AF18</f>
        <v>0</v>
      </c>
      <c r="AH18" s="1410">
        <f>IF(AD18&gt;0,1,0)</f>
        <v>0</v>
      </c>
      <c r="AJ18" s="77" t="s">
        <v>78</v>
      </c>
      <c r="AK18" s="74" t="s">
        <v>13</v>
      </c>
      <c r="AL18" s="75">
        <v>0</v>
      </c>
    </row>
    <row r="19" spans="1:38" ht="15">
      <c r="A19" s="298"/>
      <c r="B19" s="1492" t="s">
        <v>79</v>
      </c>
      <c r="C19" s="299"/>
      <c r="D19" s="14">
        <v>0</v>
      </c>
      <c r="E19" s="15" t="s">
        <v>74</v>
      </c>
      <c r="F19" s="1478">
        <v>0</v>
      </c>
      <c r="L19" s="12" t="s">
        <v>80</v>
      </c>
      <c r="M19" s="33">
        <v>0</v>
      </c>
      <c r="N19" s="40">
        <v>0</v>
      </c>
      <c r="O19" s="419">
        <f t="shared" si="1"/>
        <v>0</v>
      </c>
      <c r="P19" s="34">
        <v>40</v>
      </c>
      <c r="Q19" s="419">
        <f t="shared" si="2"/>
        <v>0</v>
      </c>
      <c r="R19" s="33">
        <v>0</v>
      </c>
      <c r="S19" s="34">
        <v>0</v>
      </c>
      <c r="T19" s="422">
        <f t="shared" si="0"/>
        <v>0</v>
      </c>
      <c r="U19" s="9"/>
      <c r="V19" s="9"/>
      <c r="W19" s="274" t="s">
        <v>81</v>
      </c>
      <c r="X19" s="33">
        <v>0</v>
      </c>
      <c r="Y19" s="49">
        <v>0</v>
      </c>
      <c r="Z19" s="419">
        <f aca="true" t="shared" si="3" ref="Z19:Z60">+Y19*X19</f>
        <v>0</v>
      </c>
      <c r="AA19" s="40">
        <v>0</v>
      </c>
      <c r="AB19" s="424">
        <f aca="true" t="shared" si="4" ref="AB19:AB60">IF(AD19&lt;=AC19,Z19*(1-0.1)/AC19,AA19/8)</f>
        <v>0</v>
      </c>
      <c r="AC19" s="34">
        <v>15</v>
      </c>
      <c r="AD19" s="34">
        <v>0</v>
      </c>
      <c r="AE19" s="48">
        <v>0</v>
      </c>
      <c r="AF19" s="49">
        <v>0</v>
      </c>
      <c r="AG19" s="426">
        <f aca="true" t="shared" si="5" ref="AG19:AG60">+AE19*AF19</f>
        <v>0</v>
      </c>
      <c r="AH19" s="1410">
        <f aca="true" t="shared" si="6" ref="AH19:AH30">IF(AD19&gt;0,1,0)</f>
        <v>0</v>
      </c>
      <c r="AJ19" s="78" t="s">
        <v>82</v>
      </c>
      <c r="AK19" s="74" t="s">
        <v>13</v>
      </c>
      <c r="AL19" s="75">
        <v>0</v>
      </c>
    </row>
    <row r="20" spans="1:38" ht="15.75">
      <c r="A20" s="298"/>
      <c r="B20" s="300" t="s">
        <v>83</v>
      </c>
      <c r="C20" s="299"/>
      <c r="D20" s="14">
        <v>0</v>
      </c>
      <c r="E20" s="15" t="s">
        <v>74</v>
      </c>
      <c r="F20" s="4"/>
      <c r="L20" s="32" t="s">
        <v>84</v>
      </c>
      <c r="M20" s="33">
        <v>0</v>
      </c>
      <c r="N20" s="40">
        <v>0</v>
      </c>
      <c r="O20" s="419">
        <f t="shared" si="1"/>
        <v>0</v>
      </c>
      <c r="P20" s="34">
        <v>40</v>
      </c>
      <c r="Q20" s="419">
        <f t="shared" si="2"/>
        <v>0</v>
      </c>
      <c r="R20" s="33">
        <v>0</v>
      </c>
      <c r="S20" s="34">
        <v>0</v>
      </c>
      <c r="T20" s="422">
        <f t="shared" si="0"/>
        <v>0</v>
      </c>
      <c r="U20" s="9"/>
      <c r="V20" s="9"/>
      <c r="W20" s="271" t="s">
        <v>85</v>
      </c>
      <c r="X20" s="33">
        <v>0</v>
      </c>
      <c r="Y20" s="49">
        <v>0</v>
      </c>
      <c r="Z20" s="419">
        <f t="shared" si="3"/>
        <v>0</v>
      </c>
      <c r="AA20" s="40">
        <v>0</v>
      </c>
      <c r="AB20" s="424">
        <f t="shared" si="4"/>
        <v>0</v>
      </c>
      <c r="AC20" s="34">
        <v>15</v>
      </c>
      <c r="AD20" s="34">
        <v>0</v>
      </c>
      <c r="AE20" s="48">
        <v>0</v>
      </c>
      <c r="AF20" s="49">
        <v>0</v>
      </c>
      <c r="AG20" s="426">
        <f t="shared" si="5"/>
        <v>0</v>
      </c>
      <c r="AH20" s="1410">
        <f t="shared" si="6"/>
        <v>0</v>
      </c>
      <c r="AJ20" s="1240" t="s">
        <v>86</v>
      </c>
      <c r="AK20" s="74" t="s">
        <v>13</v>
      </c>
      <c r="AL20" s="75">
        <v>0</v>
      </c>
    </row>
    <row r="21" spans="1:38" ht="15.75">
      <c r="A21" s="300"/>
      <c r="B21" s="1492" t="s">
        <v>87</v>
      </c>
      <c r="C21" s="299"/>
      <c r="D21" s="17">
        <v>0</v>
      </c>
      <c r="E21" s="15" t="s">
        <v>74</v>
      </c>
      <c r="F21" s="4"/>
      <c r="L21" s="32" t="s">
        <v>88</v>
      </c>
      <c r="M21" s="33">
        <v>0</v>
      </c>
      <c r="N21" s="40">
        <v>0</v>
      </c>
      <c r="O21" s="419">
        <f t="shared" si="1"/>
        <v>0</v>
      </c>
      <c r="P21" s="34">
        <v>40</v>
      </c>
      <c r="Q21" s="419">
        <f t="shared" si="2"/>
        <v>0</v>
      </c>
      <c r="R21" s="33">
        <v>0</v>
      </c>
      <c r="S21" s="34">
        <v>0</v>
      </c>
      <c r="T21" s="422">
        <f t="shared" si="0"/>
        <v>0</v>
      </c>
      <c r="U21" s="9"/>
      <c r="V21" s="9"/>
      <c r="W21" s="270" t="s">
        <v>89</v>
      </c>
      <c r="X21" s="33">
        <v>0</v>
      </c>
      <c r="Y21" s="49">
        <v>0</v>
      </c>
      <c r="Z21" s="419">
        <f t="shared" si="3"/>
        <v>0</v>
      </c>
      <c r="AA21" s="40">
        <v>0</v>
      </c>
      <c r="AB21" s="424">
        <f t="shared" si="4"/>
        <v>0</v>
      </c>
      <c r="AC21" s="34">
        <v>20</v>
      </c>
      <c r="AD21" s="34">
        <v>0</v>
      </c>
      <c r="AE21" s="48">
        <v>0</v>
      </c>
      <c r="AF21" s="49">
        <v>0</v>
      </c>
      <c r="AG21" s="426">
        <f t="shared" si="5"/>
        <v>0</v>
      </c>
      <c r="AH21" s="1410">
        <f t="shared" si="6"/>
        <v>0</v>
      </c>
      <c r="AJ21" s="1240" t="s">
        <v>86</v>
      </c>
      <c r="AK21" s="74" t="s">
        <v>13</v>
      </c>
      <c r="AL21" s="75">
        <v>0</v>
      </c>
    </row>
    <row r="22" spans="1:38" ht="15">
      <c r="A22" s="954" t="s">
        <v>90</v>
      </c>
      <c r="B22" s="1493"/>
      <c r="C22" s="301"/>
      <c r="D22" s="418">
        <f>+D18+D20</f>
        <v>0</v>
      </c>
      <c r="E22" s="18" t="s">
        <v>74</v>
      </c>
      <c r="L22" s="32" t="s">
        <v>91</v>
      </c>
      <c r="M22" s="33">
        <v>0</v>
      </c>
      <c r="N22" s="40">
        <v>0</v>
      </c>
      <c r="O22" s="419">
        <f t="shared" si="1"/>
        <v>0</v>
      </c>
      <c r="P22" s="34">
        <v>30</v>
      </c>
      <c r="Q22" s="419">
        <f t="shared" si="2"/>
        <v>0</v>
      </c>
      <c r="R22" s="33">
        <v>0</v>
      </c>
      <c r="S22" s="34">
        <v>0</v>
      </c>
      <c r="T22" s="422">
        <f t="shared" si="0"/>
        <v>0</v>
      </c>
      <c r="U22" s="9"/>
      <c r="V22" s="9"/>
      <c r="W22" s="271" t="s">
        <v>92</v>
      </c>
      <c r="X22" s="33">
        <v>0</v>
      </c>
      <c r="Y22" s="49">
        <v>0</v>
      </c>
      <c r="Z22" s="419">
        <f t="shared" si="3"/>
        <v>0</v>
      </c>
      <c r="AA22" s="40">
        <v>0</v>
      </c>
      <c r="AB22" s="424">
        <f t="shared" si="4"/>
        <v>0</v>
      </c>
      <c r="AC22" s="34">
        <v>15</v>
      </c>
      <c r="AD22" s="34">
        <v>0</v>
      </c>
      <c r="AE22" s="48">
        <v>0</v>
      </c>
      <c r="AF22" s="49">
        <v>0</v>
      </c>
      <c r="AG22" s="426">
        <f t="shared" si="5"/>
        <v>0</v>
      </c>
      <c r="AH22" s="1410">
        <f t="shared" si="6"/>
        <v>0</v>
      </c>
      <c r="AJ22" s="1240" t="s">
        <v>86</v>
      </c>
      <c r="AK22" s="74" t="s">
        <v>13</v>
      </c>
      <c r="AL22" s="75">
        <v>0</v>
      </c>
    </row>
    <row r="23" spans="1:38" ht="15.75">
      <c r="A23" s="5"/>
      <c r="B23" s="2"/>
      <c r="C23" s="4"/>
      <c r="D23" s="3"/>
      <c r="L23" s="32" t="s">
        <v>93</v>
      </c>
      <c r="M23" s="33">
        <v>0</v>
      </c>
      <c r="N23" s="40">
        <v>0</v>
      </c>
      <c r="O23" s="419">
        <f t="shared" si="1"/>
        <v>0</v>
      </c>
      <c r="P23" s="34">
        <v>30</v>
      </c>
      <c r="Q23" s="419">
        <f t="shared" si="2"/>
        <v>0</v>
      </c>
      <c r="R23" s="33">
        <v>0</v>
      </c>
      <c r="S23" s="34">
        <v>0</v>
      </c>
      <c r="T23" s="422">
        <f t="shared" si="0"/>
        <v>0</v>
      </c>
      <c r="U23" s="9"/>
      <c r="V23" s="9"/>
      <c r="W23" s="270" t="s">
        <v>94</v>
      </c>
      <c r="X23" s="33">
        <v>0</v>
      </c>
      <c r="Y23" s="49">
        <v>0</v>
      </c>
      <c r="Z23" s="419">
        <f t="shared" si="3"/>
        <v>0</v>
      </c>
      <c r="AA23" s="40">
        <v>0</v>
      </c>
      <c r="AB23" s="424">
        <f t="shared" si="4"/>
        <v>0</v>
      </c>
      <c r="AC23" s="34">
        <v>12</v>
      </c>
      <c r="AD23" s="34">
        <v>0</v>
      </c>
      <c r="AE23" s="48">
        <v>0</v>
      </c>
      <c r="AF23" s="49">
        <v>0</v>
      </c>
      <c r="AG23" s="426">
        <f t="shared" si="5"/>
        <v>0</v>
      </c>
      <c r="AH23" s="1410">
        <f t="shared" si="6"/>
        <v>0</v>
      </c>
      <c r="AJ23" s="1240" t="s">
        <v>86</v>
      </c>
      <c r="AK23" s="74" t="s">
        <v>13</v>
      </c>
      <c r="AL23" s="75">
        <v>0</v>
      </c>
    </row>
    <row r="24" spans="2:38" ht="15.75">
      <c r="B24" s="1433" t="s">
        <v>95</v>
      </c>
      <c r="C24" s="340"/>
      <c r="D24" s="950"/>
      <c r="E24" s="949"/>
      <c r="L24" s="32" t="s">
        <v>96</v>
      </c>
      <c r="M24" s="33">
        <v>0</v>
      </c>
      <c r="N24" s="40">
        <v>0</v>
      </c>
      <c r="O24" s="419">
        <f t="shared" si="1"/>
        <v>0</v>
      </c>
      <c r="P24" s="34">
        <v>10</v>
      </c>
      <c r="Q24" s="419">
        <f t="shared" si="2"/>
        <v>0</v>
      </c>
      <c r="R24" s="33">
        <v>0</v>
      </c>
      <c r="S24" s="34">
        <v>0</v>
      </c>
      <c r="T24" s="422">
        <f t="shared" si="0"/>
        <v>0</v>
      </c>
      <c r="U24" s="9"/>
      <c r="V24" s="9"/>
      <c r="W24" s="270" t="s">
        <v>97</v>
      </c>
      <c r="X24" s="33">
        <v>0</v>
      </c>
      <c r="Y24" s="49">
        <v>0</v>
      </c>
      <c r="Z24" s="419">
        <f t="shared" si="3"/>
        <v>0</v>
      </c>
      <c r="AA24" s="40">
        <v>0</v>
      </c>
      <c r="AB24" s="424">
        <f t="shared" si="4"/>
        <v>0</v>
      </c>
      <c r="AC24" s="34">
        <v>15</v>
      </c>
      <c r="AD24" s="34">
        <v>0</v>
      </c>
      <c r="AE24" s="48">
        <v>0</v>
      </c>
      <c r="AF24" s="49">
        <v>0</v>
      </c>
      <c r="AG24" s="426">
        <f t="shared" si="5"/>
        <v>0</v>
      </c>
      <c r="AH24" s="1410">
        <f t="shared" si="6"/>
        <v>0</v>
      </c>
      <c r="AJ24" s="1240" t="s">
        <v>86</v>
      </c>
      <c r="AK24" s="74" t="s">
        <v>13</v>
      </c>
      <c r="AL24" s="75">
        <v>0</v>
      </c>
    </row>
    <row r="25" spans="2:38" ht="15">
      <c r="B25" s="952"/>
      <c r="C25" s="1354" t="s">
        <v>98</v>
      </c>
      <c r="D25" s="536">
        <f>+'II. Datos  Ganaderos'!S23</f>
        <v>0</v>
      </c>
      <c r="E25" s="15" t="s">
        <v>74</v>
      </c>
      <c r="L25" s="32" t="s">
        <v>99</v>
      </c>
      <c r="M25" s="33">
        <v>0</v>
      </c>
      <c r="N25" s="40">
        <v>0</v>
      </c>
      <c r="O25" s="419">
        <f t="shared" si="1"/>
        <v>0</v>
      </c>
      <c r="P25" s="34">
        <v>15</v>
      </c>
      <c r="Q25" s="419">
        <f t="shared" si="2"/>
        <v>0</v>
      </c>
      <c r="R25" s="33">
        <v>0</v>
      </c>
      <c r="S25" s="34">
        <v>0</v>
      </c>
      <c r="T25" s="422">
        <f t="shared" si="0"/>
        <v>0</v>
      </c>
      <c r="U25" s="9"/>
      <c r="V25" s="9"/>
      <c r="W25" s="270" t="s">
        <v>100</v>
      </c>
      <c r="X25" s="33">
        <v>0</v>
      </c>
      <c r="Y25" s="49">
        <v>0</v>
      </c>
      <c r="Z25" s="419">
        <f t="shared" si="3"/>
        <v>0</v>
      </c>
      <c r="AA25" s="40">
        <v>0</v>
      </c>
      <c r="AB25" s="424">
        <f t="shared" si="4"/>
        <v>0</v>
      </c>
      <c r="AC25" s="34">
        <v>10</v>
      </c>
      <c r="AD25" s="34">
        <v>0</v>
      </c>
      <c r="AE25" s="48">
        <v>0</v>
      </c>
      <c r="AF25" s="49">
        <v>0</v>
      </c>
      <c r="AG25" s="426">
        <f t="shared" si="5"/>
        <v>0</v>
      </c>
      <c r="AH25" s="1410">
        <f t="shared" si="6"/>
        <v>0</v>
      </c>
      <c r="AJ25" s="1240" t="s">
        <v>86</v>
      </c>
      <c r="AK25" s="74" t="s">
        <v>13</v>
      </c>
      <c r="AL25" s="75">
        <v>0</v>
      </c>
    </row>
    <row r="26" spans="2:38" ht="15">
      <c r="B26" s="300"/>
      <c r="C26" s="349" t="s">
        <v>101</v>
      </c>
      <c r="D26" s="536">
        <f>+D25-D27</f>
        <v>0</v>
      </c>
      <c r="E26" s="15" t="s">
        <v>74</v>
      </c>
      <c r="L26" s="32" t="s">
        <v>102</v>
      </c>
      <c r="M26" s="33">
        <v>0</v>
      </c>
      <c r="N26" s="40">
        <v>0</v>
      </c>
      <c r="O26" s="419">
        <v>0</v>
      </c>
      <c r="P26" s="34">
        <v>0</v>
      </c>
      <c r="Q26" s="419">
        <f t="shared" si="2"/>
        <v>0</v>
      </c>
      <c r="R26" s="33">
        <v>0</v>
      </c>
      <c r="S26" s="34">
        <v>0</v>
      </c>
      <c r="T26" s="422">
        <f t="shared" si="0"/>
        <v>0</v>
      </c>
      <c r="U26" s="9"/>
      <c r="V26" s="9"/>
      <c r="W26" s="270" t="s">
        <v>105</v>
      </c>
      <c r="X26" s="33">
        <v>0</v>
      </c>
      <c r="Y26" s="49">
        <v>0</v>
      </c>
      <c r="Z26" s="419">
        <f t="shared" si="3"/>
        <v>0</v>
      </c>
      <c r="AA26" s="40">
        <v>0</v>
      </c>
      <c r="AB26" s="424">
        <f t="shared" si="4"/>
        <v>0</v>
      </c>
      <c r="AC26" s="34">
        <v>12</v>
      </c>
      <c r="AD26" s="34">
        <v>0</v>
      </c>
      <c r="AE26" s="48">
        <v>0</v>
      </c>
      <c r="AF26" s="49">
        <v>0</v>
      </c>
      <c r="AG26" s="426">
        <f t="shared" si="5"/>
        <v>0</v>
      </c>
      <c r="AH26" s="1410">
        <f t="shared" si="6"/>
        <v>0</v>
      </c>
      <c r="AJ26" s="257" t="s">
        <v>103</v>
      </c>
      <c r="AK26" s="25" t="s">
        <v>13</v>
      </c>
      <c r="AL26" s="431">
        <f>SUM(AL3:AL25)</f>
        <v>0</v>
      </c>
    </row>
    <row r="27" spans="2:38" ht="15">
      <c r="B27" s="953"/>
      <c r="C27" s="349" t="s">
        <v>1216</v>
      </c>
      <c r="D27" s="17">
        <v>0</v>
      </c>
      <c r="E27" s="15" t="s">
        <v>74</v>
      </c>
      <c r="L27" s="41" t="s">
        <v>104</v>
      </c>
      <c r="M27" s="33">
        <v>0</v>
      </c>
      <c r="N27" s="40">
        <v>0</v>
      </c>
      <c r="O27" s="419">
        <f t="shared" si="1"/>
        <v>0</v>
      </c>
      <c r="P27" s="34">
        <v>0</v>
      </c>
      <c r="Q27" s="419">
        <f t="shared" si="2"/>
        <v>0</v>
      </c>
      <c r="R27" s="33">
        <v>0</v>
      </c>
      <c r="S27" s="34">
        <v>0</v>
      </c>
      <c r="T27" s="422">
        <f t="shared" si="0"/>
        <v>0</v>
      </c>
      <c r="U27" s="9"/>
      <c r="V27" s="9"/>
      <c r="W27" s="270" t="s">
        <v>105</v>
      </c>
      <c r="X27" s="33">
        <v>0</v>
      </c>
      <c r="Y27" s="49">
        <v>0</v>
      </c>
      <c r="Z27" s="419">
        <f t="shared" si="3"/>
        <v>0</v>
      </c>
      <c r="AA27" s="40">
        <v>0</v>
      </c>
      <c r="AB27" s="424">
        <f t="shared" si="4"/>
        <v>0</v>
      </c>
      <c r="AC27" s="34">
        <v>15</v>
      </c>
      <c r="AD27" s="34">
        <v>0</v>
      </c>
      <c r="AE27" s="48">
        <v>0</v>
      </c>
      <c r="AF27" s="49">
        <v>0</v>
      </c>
      <c r="AG27" s="426">
        <f t="shared" si="5"/>
        <v>0</v>
      </c>
      <c r="AH27" s="1410">
        <f t="shared" si="6"/>
        <v>0</v>
      </c>
      <c r="AJ27" s="9"/>
      <c r="AK27" s="9"/>
      <c r="AL27" s="20"/>
    </row>
    <row r="28" spans="2:34" ht="15">
      <c r="B28" s="953"/>
      <c r="C28" s="1355" t="s">
        <v>106</v>
      </c>
      <c r="D28" s="536">
        <f>+'II. Datos  Ganaderos'!S81</f>
        <v>0</v>
      </c>
      <c r="E28" s="15" t="s">
        <v>74</v>
      </c>
      <c r="L28" s="32" t="s">
        <v>107</v>
      </c>
      <c r="M28" s="42"/>
      <c r="N28" s="43"/>
      <c r="O28" s="419"/>
      <c r="P28" s="20"/>
      <c r="Q28" s="421"/>
      <c r="R28" s="44"/>
      <c r="S28" s="36" t="s">
        <v>50</v>
      </c>
      <c r="T28" s="422"/>
      <c r="U28" s="9"/>
      <c r="V28" s="9"/>
      <c r="W28" s="270" t="s">
        <v>105</v>
      </c>
      <c r="X28" s="33">
        <v>0</v>
      </c>
      <c r="Y28" s="49">
        <v>0</v>
      </c>
      <c r="Z28" s="419">
        <f t="shared" si="3"/>
        <v>0</v>
      </c>
      <c r="AA28" s="40">
        <v>0</v>
      </c>
      <c r="AB28" s="424">
        <f t="shared" si="4"/>
        <v>0</v>
      </c>
      <c r="AC28" s="34">
        <v>15</v>
      </c>
      <c r="AD28" s="34">
        <v>0</v>
      </c>
      <c r="AE28" s="48">
        <v>0</v>
      </c>
      <c r="AF28" s="49">
        <v>0</v>
      </c>
      <c r="AG28" s="426">
        <f t="shared" si="5"/>
        <v>0</v>
      </c>
      <c r="AH28" s="1410">
        <f t="shared" si="6"/>
        <v>0</v>
      </c>
    </row>
    <row r="29" spans="2:34" ht="15">
      <c r="B29" s="953"/>
      <c r="C29" s="1355" t="s">
        <v>108</v>
      </c>
      <c r="D29" s="536">
        <f>+'VII. Impresión'!DC3</f>
        <v>0</v>
      </c>
      <c r="E29" s="15" t="s">
        <v>74</v>
      </c>
      <c r="L29" s="32" t="s">
        <v>109</v>
      </c>
      <c r="M29" s="33">
        <v>0</v>
      </c>
      <c r="N29" s="40">
        <v>0</v>
      </c>
      <c r="O29" s="419">
        <f>+M29*N29</f>
        <v>0</v>
      </c>
      <c r="P29" s="34">
        <v>30</v>
      </c>
      <c r="Q29" s="419">
        <f t="shared" si="2"/>
        <v>0</v>
      </c>
      <c r="R29" s="33">
        <v>0</v>
      </c>
      <c r="S29" s="34">
        <v>0</v>
      </c>
      <c r="T29" s="422">
        <f t="shared" si="0"/>
        <v>0</v>
      </c>
      <c r="U29" s="9"/>
      <c r="V29" s="9"/>
      <c r="W29" s="270" t="s">
        <v>105</v>
      </c>
      <c r="X29" s="33">
        <v>0</v>
      </c>
      <c r="Y29" s="49">
        <v>0</v>
      </c>
      <c r="Z29" s="419">
        <f t="shared" si="3"/>
        <v>0</v>
      </c>
      <c r="AA29" s="40">
        <v>0</v>
      </c>
      <c r="AB29" s="424">
        <f t="shared" si="4"/>
        <v>0</v>
      </c>
      <c r="AC29" s="34">
        <v>10</v>
      </c>
      <c r="AD29" s="34">
        <v>0</v>
      </c>
      <c r="AE29" s="48">
        <v>0</v>
      </c>
      <c r="AF29" s="49">
        <v>0</v>
      </c>
      <c r="AG29" s="426">
        <f t="shared" si="5"/>
        <v>0</v>
      </c>
      <c r="AH29" s="1410">
        <f t="shared" si="6"/>
        <v>0</v>
      </c>
    </row>
    <row r="30" spans="2:34" ht="15">
      <c r="B30" s="1356" t="s">
        <v>110</v>
      </c>
      <c r="C30" s="351"/>
      <c r="D30" s="951">
        <f>SUM(D26:D29)</f>
        <v>0</v>
      </c>
      <c r="E30" s="18" t="s">
        <v>74</v>
      </c>
      <c r="L30" s="41" t="s">
        <v>111</v>
      </c>
      <c r="M30" s="33">
        <v>0</v>
      </c>
      <c r="N30" s="40">
        <v>0</v>
      </c>
      <c r="O30" s="419">
        <f>+M30*N30</f>
        <v>0</v>
      </c>
      <c r="P30" s="34">
        <v>30</v>
      </c>
      <c r="Q30" s="419">
        <f t="shared" si="2"/>
        <v>0</v>
      </c>
      <c r="R30" s="33">
        <v>0</v>
      </c>
      <c r="S30" s="34">
        <v>0</v>
      </c>
      <c r="T30" s="422">
        <f t="shared" si="0"/>
        <v>0</v>
      </c>
      <c r="U30" s="9"/>
      <c r="V30" s="9"/>
      <c r="W30" s="270" t="s">
        <v>105</v>
      </c>
      <c r="X30" s="33">
        <v>0</v>
      </c>
      <c r="Y30" s="49">
        <v>0</v>
      </c>
      <c r="Z30" s="419">
        <f t="shared" si="3"/>
        <v>0</v>
      </c>
      <c r="AA30" s="40">
        <v>0</v>
      </c>
      <c r="AB30" s="424">
        <f t="shared" si="4"/>
        <v>0</v>
      </c>
      <c r="AC30" s="34">
        <v>15</v>
      </c>
      <c r="AD30" s="34">
        <v>0</v>
      </c>
      <c r="AE30" s="48">
        <v>0</v>
      </c>
      <c r="AF30" s="49">
        <v>0</v>
      </c>
      <c r="AG30" s="426">
        <f t="shared" si="5"/>
        <v>0</v>
      </c>
      <c r="AH30" s="1410">
        <f t="shared" si="6"/>
        <v>0</v>
      </c>
    </row>
    <row r="31" spans="1:34" ht="15.75">
      <c r="A31" s="99"/>
      <c r="D31" s="3"/>
      <c r="L31" s="41" t="s">
        <v>112</v>
      </c>
      <c r="M31" s="33">
        <v>0</v>
      </c>
      <c r="N31" s="40">
        <v>0</v>
      </c>
      <c r="O31" s="419">
        <f>+M31*N31</f>
        <v>0</v>
      </c>
      <c r="P31" s="34">
        <v>30</v>
      </c>
      <c r="Q31" s="419">
        <f t="shared" si="2"/>
        <v>0</v>
      </c>
      <c r="R31" s="33">
        <v>0</v>
      </c>
      <c r="S31" s="34">
        <v>0</v>
      </c>
      <c r="T31" s="422">
        <f t="shared" si="0"/>
        <v>0</v>
      </c>
      <c r="U31" s="9"/>
      <c r="V31" s="9"/>
      <c r="W31" s="270" t="s">
        <v>105</v>
      </c>
      <c r="X31" s="33">
        <v>0</v>
      </c>
      <c r="Y31" s="49">
        <v>0</v>
      </c>
      <c r="Z31" s="419">
        <f t="shared" si="3"/>
        <v>0</v>
      </c>
      <c r="AA31" s="40">
        <v>0</v>
      </c>
      <c r="AB31" s="424">
        <f t="shared" si="4"/>
        <v>0</v>
      </c>
      <c r="AC31" s="34">
        <v>20</v>
      </c>
      <c r="AD31" s="34">
        <v>0</v>
      </c>
      <c r="AE31" s="48">
        <v>0</v>
      </c>
      <c r="AF31" s="49">
        <v>0</v>
      </c>
      <c r="AG31" s="426">
        <f t="shared" si="5"/>
        <v>0</v>
      </c>
      <c r="AH31" s="1410">
        <f>IF(AD31&gt;0,1,0)</f>
        <v>0</v>
      </c>
    </row>
    <row r="32" spans="1:34" ht="15.75">
      <c r="A32" s="1434" t="s">
        <v>1160</v>
      </c>
      <c r="B32" s="1435"/>
      <c r="C32" s="1435"/>
      <c r="D32" s="1435"/>
      <c r="E32" s="1435"/>
      <c r="F32" s="1436"/>
      <c r="G32" s="1438"/>
      <c r="L32" s="45" t="s">
        <v>113</v>
      </c>
      <c r="M32" s="33">
        <v>0</v>
      </c>
      <c r="N32" s="40">
        <v>0</v>
      </c>
      <c r="O32" s="419">
        <f>+M32*N32</f>
        <v>0</v>
      </c>
      <c r="P32" s="34">
        <v>20</v>
      </c>
      <c r="Q32" s="419">
        <f t="shared" si="2"/>
        <v>0</v>
      </c>
      <c r="R32" s="33">
        <v>0</v>
      </c>
      <c r="S32" s="34">
        <v>0</v>
      </c>
      <c r="T32" s="422">
        <f t="shared" si="0"/>
        <v>0</v>
      </c>
      <c r="U32" s="9"/>
      <c r="V32" s="9"/>
      <c r="W32" s="32" t="s">
        <v>114</v>
      </c>
      <c r="X32" s="33">
        <v>0</v>
      </c>
      <c r="Y32" s="49">
        <v>0</v>
      </c>
      <c r="Z32" s="419"/>
      <c r="AA32" s="69"/>
      <c r="AB32" s="424"/>
      <c r="AC32" s="31"/>
      <c r="AD32" s="31"/>
      <c r="AE32" s="44"/>
      <c r="AF32" s="39"/>
      <c r="AG32" s="426"/>
      <c r="AH32" s="1410"/>
    </row>
    <row r="33" spans="1:34" ht="15">
      <c r="A33" s="1640" t="s">
        <v>1165</v>
      </c>
      <c r="B33" s="748" t="s">
        <v>1166</v>
      </c>
      <c r="C33" s="105" t="s">
        <v>1167</v>
      </c>
      <c r="D33" s="199" t="s">
        <v>1146</v>
      </c>
      <c r="E33" s="1431" t="s">
        <v>1147</v>
      </c>
      <c r="F33" s="1643" t="s">
        <v>1168</v>
      </c>
      <c r="G33" s="1642"/>
      <c r="L33" s="45" t="s">
        <v>115</v>
      </c>
      <c r="M33" s="33">
        <v>0</v>
      </c>
      <c r="N33" s="40">
        <v>0</v>
      </c>
      <c r="O33" s="419">
        <f>+M33*N33</f>
        <v>0</v>
      </c>
      <c r="P33" s="34">
        <v>30</v>
      </c>
      <c r="Q33" s="419">
        <f t="shared" si="2"/>
        <v>0</v>
      </c>
      <c r="R33" s="33">
        <v>0</v>
      </c>
      <c r="S33" s="34">
        <v>0</v>
      </c>
      <c r="T33" s="422">
        <f t="shared" si="0"/>
        <v>0</v>
      </c>
      <c r="U33" s="9"/>
      <c r="V33" s="9"/>
      <c r="W33" s="270" t="s">
        <v>116</v>
      </c>
      <c r="X33" s="33">
        <v>0</v>
      </c>
      <c r="Y33" s="49">
        <v>0</v>
      </c>
      <c r="Z33" s="419">
        <f t="shared" si="3"/>
        <v>0</v>
      </c>
      <c r="AA33" s="40">
        <v>0</v>
      </c>
      <c r="AB33" s="424">
        <f t="shared" si="4"/>
        <v>0</v>
      </c>
      <c r="AC33" s="34">
        <v>10</v>
      </c>
      <c r="AD33" s="34">
        <v>0</v>
      </c>
      <c r="AE33" s="48">
        <v>0</v>
      </c>
      <c r="AF33" s="49">
        <v>0</v>
      </c>
      <c r="AG33" s="426">
        <f t="shared" si="5"/>
        <v>0</v>
      </c>
      <c r="AH33" s="1410">
        <f aca="true" t="shared" si="7" ref="AH33:AH42">IF(AD33&gt;0,1,0)</f>
        <v>0</v>
      </c>
    </row>
    <row r="34" spans="1:34" ht="15">
      <c r="A34" s="1641"/>
      <c r="B34" s="747"/>
      <c r="C34" s="168"/>
      <c r="D34" s="199" t="s">
        <v>1148</v>
      </c>
      <c r="E34" s="1431" t="s">
        <v>1149</v>
      </c>
      <c r="F34" s="1644"/>
      <c r="G34" s="1642"/>
      <c r="L34" s="32" t="s">
        <v>117</v>
      </c>
      <c r="M34" s="42"/>
      <c r="N34" s="43"/>
      <c r="O34" s="419"/>
      <c r="P34" s="20"/>
      <c r="Q34" s="421"/>
      <c r="R34" s="44"/>
      <c r="S34" s="36" t="s">
        <v>50</v>
      </c>
      <c r="T34" s="422"/>
      <c r="U34" s="20"/>
      <c r="V34" s="9"/>
      <c r="W34" s="270" t="s">
        <v>118</v>
      </c>
      <c r="X34" s="33">
        <v>0</v>
      </c>
      <c r="Y34" s="49">
        <v>0</v>
      </c>
      <c r="Z34" s="419">
        <f t="shared" si="3"/>
        <v>0</v>
      </c>
      <c r="AA34" s="40">
        <v>0</v>
      </c>
      <c r="AB34" s="424">
        <f>IF(AD34&lt;=AC34,Z34*(1-0.1)/AC34,AA34/8)</f>
        <v>0</v>
      </c>
      <c r="AC34" s="34">
        <v>15</v>
      </c>
      <c r="AD34" s="34">
        <v>0</v>
      </c>
      <c r="AE34" s="48">
        <v>0</v>
      </c>
      <c r="AF34" s="49">
        <v>0</v>
      </c>
      <c r="AG34" s="426">
        <f t="shared" si="5"/>
        <v>0</v>
      </c>
      <c r="AH34" s="1410">
        <f t="shared" si="7"/>
        <v>0</v>
      </c>
    </row>
    <row r="35" spans="1:34" ht="15">
      <c r="A35" s="1448" t="s">
        <v>1161</v>
      </c>
      <c r="B35" s="1427" t="s">
        <v>1163</v>
      </c>
      <c r="C35" s="1424" t="s">
        <v>1150</v>
      </c>
      <c r="D35" s="1428">
        <v>0</v>
      </c>
      <c r="E35" s="929">
        <v>0</v>
      </c>
      <c r="F35" s="1462">
        <f aca="true" t="shared" si="8" ref="F35:F55">IF(D35&lt;18,0.7,1)*IF(D35&gt;60,0.7,1)*(+E35*52/2400)</f>
        <v>0</v>
      </c>
      <c r="G35" s="1"/>
      <c r="L35" s="1533" t="s">
        <v>119</v>
      </c>
      <c r="M35" s="33">
        <v>0</v>
      </c>
      <c r="N35" s="46">
        <f>SUM('II. Datos  Ganaderos'!R4:R8)+SUM('II. Datos  Ganaderos'!R62:R66)</f>
        <v>0</v>
      </c>
      <c r="O35" s="419">
        <f>+M35*N35</f>
        <v>0</v>
      </c>
      <c r="P35" s="34">
        <v>0</v>
      </c>
      <c r="Q35" s="419"/>
      <c r="R35" s="33"/>
      <c r="S35" s="34"/>
      <c r="T35" s="422"/>
      <c r="U35" s="20"/>
      <c r="V35" s="9"/>
      <c r="W35" s="270" t="s">
        <v>120</v>
      </c>
      <c r="X35" s="33">
        <v>0</v>
      </c>
      <c r="Y35" s="49">
        <v>0</v>
      </c>
      <c r="Z35" s="419">
        <f t="shared" si="3"/>
        <v>0</v>
      </c>
      <c r="AA35" s="40">
        <v>0</v>
      </c>
      <c r="AB35" s="424">
        <f t="shared" si="4"/>
        <v>0</v>
      </c>
      <c r="AC35" s="34">
        <v>15</v>
      </c>
      <c r="AD35" s="34">
        <v>0</v>
      </c>
      <c r="AE35" s="48">
        <v>0</v>
      </c>
      <c r="AF35" s="49">
        <v>0</v>
      </c>
      <c r="AG35" s="426">
        <f t="shared" si="5"/>
        <v>0</v>
      </c>
      <c r="AH35" s="1410">
        <f t="shared" si="7"/>
        <v>0</v>
      </c>
    </row>
    <row r="36" spans="1:34" ht="15">
      <c r="A36" s="1449"/>
      <c r="B36" s="747"/>
      <c r="C36" s="1425" t="s">
        <v>536</v>
      </c>
      <c r="D36" s="1429">
        <v>0</v>
      </c>
      <c r="E36" s="667">
        <v>0</v>
      </c>
      <c r="F36" s="1463">
        <f t="shared" si="8"/>
        <v>0</v>
      </c>
      <c r="G36" s="1"/>
      <c r="L36" s="1534" t="s">
        <v>121</v>
      </c>
      <c r="M36" s="33">
        <v>0</v>
      </c>
      <c r="N36" s="20">
        <f>SUM('II. Datos  Ganaderos'!R9:R12)+SUM('II. Datos  Ganaderos'!R67:R70)</f>
        <v>0</v>
      </c>
      <c r="O36" s="419">
        <f>+M36*N36</f>
        <v>0</v>
      </c>
      <c r="P36" s="34">
        <v>0</v>
      </c>
      <c r="Q36" s="419"/>
      <c r="R36" s="33"/>
      <c r="S36" s="34"/>
      <c r="T36" s="422"/>
      <c r="U36" s="20"/>
      <c r="V36" s="9"/>
      <c r="W36" s="270" t="s">
        <v>122</v>
      </c>
      <c r="X36" s="33">
        <v>0</v>
      </c>
      <c r="Y36" s="49">
        <v>0</v>
      </c>
      <c r="Z36" s="419">
        <f t="shared" si="3"/>
        <v>0</v>
      </c>
      <c r="AA36" s="40">
        <v>0</v>
      </c>
      <c r="AB36" s="424">
        <f t="shared" si="4"/>
        <v>0</v>
      </c>
      <c r="AC36" s="34">
        <v>15</v>
      </c>
      <c r="AD36" s="34">
        <v>0</v>
      </c>
      <c r="AE36" s="48">
        <v>0</v>
      </c>
      <c r="AF36" s="49">
        <v>0</v>
      </c>
      <c r="AG36" s="426">
        <f t="shared" si="5"/>
        <v>0</v>
      </c>
      <c r="AH36" s="1410">
        <f t="shared" si="7"/>
        <v>0</v>
      </c>
    </row>
    <row r="37" spans="1:34" ht="15">
      <c r="A37" s="1448" t="s">
        <v>1162</v>
      </c>
      <c r="B37" s="748" t="s">
        <v>1108</v>
      </c>
      <c r="C37" s="1424" t="s">
        <v>1151</v>
      </c>
      <c r="D37" s="1428">
        <v>0</v>
      </c>
      <c r="E37" s="929">
        <v>0</v>
      </c>
      <c r="F37" s="1462">
        <f t="shared" si="8"/>
        <v>0</v>
      </c>
      <c r="G37" s="99"/>
      <c r="L37" s="47" t="s">
        <v>1218</v>
      </c>
      <c r="M37" s="48">
        <v>0</v>
      </c>
      <c r="N37" s="49">
        <v>0</v>
      </c>
      <c r="O37" s="419">
        <f>+M37*N37</f>
        <v>0</v>
      </c>
      <c r="P37" s="34">
        <v>0</v>
      </c>
      <c r="Q37" s="419"/>
      <c r="R37" s="33"/>
      <c r="S37" s="34"/>
      <c r="T37" s="422"/>
      <c r="U37" s="20"/>
      <c r="V37" s="9"/>
      <c r="W37" s="270" t="s">
        <v>123</v>
      </c>
      <c r="X37" s="33">
        <v>0</v>
      </c>
      <c r="Y37" s="49">
        <v>0</v>
      </c>
      <c r="Z37" s="419">
        <f t="shared" si="3"/>
        <v>0</v>
      </c>
      <c r="AA37" s="40">
        <v>0</v>
      </c>
      <c r="AB37" s="424">
        <f t="shared" si="4"/>
        <v>0</v>
      </c>
      <c r="AC37" s="34">
        <v>10</v>
      </c>
      <c r="AD37" s="34">
        <v>0</v>
      </c>
      <c r="AE37" s="48">
        <v>0</v>
      </c>
      <c r="AF37" s="49">
        <v>0</v>
      </c>
      <c r="AG37" s="426">
        <f t="shared" si="5"/>
        <v>0</v>
      </c>
      <c r="AH37" s="1410">
        <f t="shared" si="7"/>
        <v>0</v>
      </c>
    </row>
    <row r="38" spans="1:34" ht="15">
      <c r="A38" s="737"/>
      <c r="B38" s="1450"/>
      <c r="C38" s="1422" t="s">
        <v>1176</v>
      </c>
      <c r="D38" s="1430">
        <v>0</v>
      </c>
      <c r="E38" s="1423">
        <v>0</v>
      </c>
      <c r="F38" s="1464">
        <f t="shared" si="8"/>
        <v>0</v>
      </c>
      <c r="G38" s="99"/>
      <c r="L38" s="47" t="s">
        <v>373</v>
      </c>
      <c r="M38" s="48">
        <v>0</v>
      </c>
      <c r="N38" s="49">
        <v>0</v>
      </c>
      <c r="O38" s="419">
        <f>+M38*N38</f>
        <v>0</v>
      </c>
      <c r="P38" s="34">
        <v>0</v>
      </c>
      <c r="Q38" s="419"/>
      <c r="R38" s="33"/>
      <c r="S38" s="34"/>
      <c r="T38" s="422"/>
      <c r="U38" s="20"/>
      <c r="V38" s="9"/>
      <c r="W38" s="270" t="s">
        <v>124</v>
      </c>
      <c r="X38" s="33">
        <v>0</v>
      </c>
      <c r="Y38" s="49">
        <v>0</v>
      </c>
      <c r="Z38" s="419">
        <f t="shared" si="3"/>
        <v>0</v>
      </c>
      <c r="AA38" s="40">
        <v>0</v>
      </c>
      <c r="AB38" s="424">
        <f t="shared" si="4"/>
        <v>0</v>
      </c>
      <c r="AC38" s="34">
        <v>15</v>
      </c>
      <c r="AD38" s="34">
        <v>0</v>
      </c>
      <c r="AE38" s="48">
        <v>0</v>
      </c>
      <c r="AF38" s="49">
        <v>0</v>
      </c>
      <c r="AG38" s="426">
        <f t="shared" si="5"/>
        <v>0</v>
      </c>
      <c r="AH38" s="1410">
        <f t="shared" si="7"/>
        <v>0</v>
      </c>
    </row>
    <row r="39" spans="1:34" ht="15">
      <c r="A39" s="737"/>
      <c r="B39" s="1451" t="s">
        <v>1164</v>
      </c>
      <c r="C39" s="1422" t="s">
        <v>1177</v>
      </c>
      <c r="D39" s="1430">
        <v>0</v>
      </c>
      <c r="E39" s="1423">
        <v>0</v>
      </c>
      <c r="F39" s="1464">
        <f t="shared" si="8"/>
        <v>0</v>
      </c>
      <c r="G39" s="99"/>
      <c r="L39" s="47" t="s">
        <v>1219</v>
      </c>
      <c r="M39" s="48">
        <v>0</v>
      </c>
      <c r="N39" s="49">
        <v>0</v>
      </c>
      <c r="O39" s="419">
        <f>+M39*N39</f>
        <v>0</v>
      </c>
      <c r="P39" s="34">
        <v>0</v>
      </c>
      <c r="Q39" s="419"/>
      <c r="R39" s="33"/>
      <c r="S39" s="34"/>
      <c r="T39" s="422"/>
      <c r="U39" s="20"/>
      <c r="V39" s="9"/>
      <c r="W39" s="270" t="s">
        <v>125</v>
      </c>
      <c r="X39" s="33">
        <v>0</v>
      </c>
      <c r="Y39" s="49">
        <v>0</v>
      </c>
      <c r="Z39" s="419">
        <f t="shared" si="3"/>
        <v>0</v>
      </c>
      <c r="AA39" s="40">
        <v>0</v>
      </c>
      <c r="AB39" s="424">
        <f t="shared" si="4"/>
        <v>0</v>
      </c>
      <c r="AC39" s="34">
        <v>10</v>
      </c>
      <c r="AD39" s="34">
        <v>0</v>
      </c>
      <c r="AE39" s="48">
        <v>0</v>
      </c>
      <c r="AF39" s="49">
        <v>0</v>
      </c>
      <c r="AG39" s="426">
        <f t="shared" si="5"/>
        <v>0</v>
      </c>
      <c r="AH39" s="1410">
        <f t="shared" si="7"/>
        <v>0</v>
      </c>
    </row>
    <row r="40" spans="1:34" ht="15">
      <c r="A40" s="1449"/>
      <c r="B40" s="747"/>
      <c r="C40" s="1425" t="s">
        <v>1157</v>
      </c>
      <c r="D40" s="1429">
        <v>0</v>
      </c>
      <c r="E40" s="667">
        <v>0</v>
      </c>
      <c r="F40" s="1463">
        <f t="shared" si="8"/>
        <v>0</v>
      </c>
      <c r="G40" s="1"/>
      <c r="L40" s="58" t="s">
        <v>126</v>
      </c>
      <c r="M40" s="50"/>
      <c r="N40" s="103"/>
      <c r="O40" s="420">
        <f>SUM(O7:O9)+SUM(O10:O39)*0.5</f>
        <v>0</v>
      </c>
      <c r="P40" s="103"/>
      <c r="Q40" s="420">
        <f>SUM(Q7:Q33)</f>
        <v>0</v>
      </c>
      <c r="R40" s="50"/>
      <c r="S40" s="51"/>
      <c r="T40" s="423">
        <f>SUM(T8:T39)</f>
        <v>0</v>
      </c>
      <c r="U40" s="20"/>
      <c r="V40" s="9"/>
      <c r="W40" s="270" t="s">
        <v>127</v>
      </c>
      <c r="X40" s="33">
        <v>0</v>
      </c>
      <c r="Y40" s="49">
        <v>0</v>
      </c>
      <c r="Z40" s="419">
        <f t="shared" si="3"/>
        <v>0</v>
      </c>
      <c r="AA40" s="40">
        <v>0</v>
      </c>
      <c r="AB40" s="424">
        <f t="shared" si="4"/>
        <v>0</v>
      </c>
      <c r="AC40" s="34">
        <v>15</v>
      </c>
      <c r="AD40" s="34">
        <v>0</v>
      </c>
      <c r="AE40" s="48">
        <v>0</v>
      </c>
      <c r="AF40" s="49">
        <v>0</v>
      </c>
      <c r="AG40" s="426">
        <f t="shared" si="5"/>
        <v>0</v>
      </c>
      <c r="AH40" s="1410">
        <f t="shared" si="7"/>
        <v>0</v>
      </c>
    </row>
    <row r="41" spans="1:34" ht="15">
      <c r="A41" s="1448" t="s">
        <v>329</v>
      </c>
      <c r="B41" s="1427" t="s">
        <v>1155</v>
      </c>
      <c r="C41" s="1424" t="s">
        <v>1154</v>
      </c>
      <c r="D41" s="1428">
        <v>0</v>
      </c>
      <c r="E41" s="929">
        <v>0</v>
      </c>
      <c r="F41" s="1462">
        <f t="shared" si="8"/>
        <v>0</v>
      </c>
      <c r="G41" s="99"/>
      <c r="L41" s="1402"/>
      <c r="M41" s="1402"/>
      <c r="N41" s="1402"/>
      <c r="O41" s="1403">
        <f>O40-O8-O9</f>
        <v>0</v>
      </c>
      <c r="P41" s="1402"/>
      <c r="Q41" s="1402"/>
      <c r="R41" s="712"/>
      <c r="S41" s="712"/>
      <c r="T41" s="712"/>
      <c r="U41" s="712"/>
      <c r="V41" s="712"/>
      <c r="W41" s="274" t="s">
        <v>128</v>
      </c>
      <c r="X41" s="33">
        <v>0</v>
      </c>
      <c r="Y41" s="49">
        <v>0</v>
      </c>
      <c r="Z41" s="419">
        <f t="shared" si="3"/>
        <v>0</v>
      </c>
      <c r="AA41" s="40">
        <v>0</v>
      </c>
      <c r="AB41" s="424">
        <f t="shared" si="4"/>
        <v>0</v>
      </c>
      <c r="AC41" s="34">
        <v>15</v>
      </c>
      <c r="AD41" s="34">
        <v>0</v>
      </c>
      <c r="AE41" s="48">
        <v>0</v>
      </c>
      <c r="AF41" s="49">
        <v>0</v>
      </c>
      <c r="AG41" s="426">
        <f t="shared" si="5"/>
        <v>0</v>
      </c>
      <c r="AH41" s="1410">
        <f t="shared" si="7"/>
        <v>0</v>
      </c>
    </row>
    <row r="42" spans="1:34" ht="15">
      <c r="A42" s="737"/>
      <c r="B42" s="1451"/>
      <c r="C42" s="1422" t="s">
        <v>1151</v>
      </c>
      <c r="D42" s="1430">
        <v>0</v>
      </c>
      <c r="E42" s="1423">
        <v>0</v>
      </c>
      <c r="F42" s="1464">
        <f t="shared" si="8"/>
        <v>0</v>
      </c>
      <c r="G42" s="99"/>
      <c r="L42" s="1404" t="s">
        <v>129</v>
      </c>
      <c r="M42" s="1405"/>
      <c r="N42" s="1405">
        <f>IF(SUM(N7:N9)=0,0,+O40/SUM(N7:N9))</f>
        <v>0</v>
      </c>
      <c r="O42" s="1404" t="s">
        <v>130</v>
      </c>
      <c r="P42" s="1405"/>
      <c r="Q42" s="1405"/>
      <c r="R42" s="1405"/>
      <c r="S42" s="712"/>
      <c r="T42" s="712"/>
      <c r="U42" s="712"/>
      <c r="V42" s="712"/>
      <c r="W42" s="273" t="s">
        <v>131</v>
      </c>
      <c r="X42" s="33">
        <v>0</v>
      </c>
      <c r="Y42" s="49">
        <v>0</v>
      </c>
      <c r="Z42" s="419">
        <f t="shared" si="3"/>
        <v>0</v>
      </c>
      <c r="AA42" s="40">
        <v>0</v>
      </c>
      <c r="AB42" s="424">
        <f t="shared" si="4"/>
        <v>0</v>
      </c>
      <c r="AC42" s="34">
        <v>10</v>
      </c>
      <c r="AD42" s="34">
        <v>0</v>
      </c>
      <c r="AE42" s="48">
        <v>0</v>
      </c>
      <c r="AF42" s="49">
        <v>0</v>
      </c>
      <c r="AG42" s="426">
        <f t="shared" si="5"/>
        <v>0</v>
      </c>
      <c r="AH42" s="1410">
        <f t="shared" si="7"/>
        <v>0</v>
      </c>
    </row>
    <row r="43" spans="1:34" ht="15">
      <c r="A43" s="737"/>
      <c r="B43" s="1450"/>
      <c r="C43" s="1422" t="s">
        <v>1152</v>
      </c>
      <c r="D43" s="1430">
        <v>0</v>
      </c>
      <c r="E43" s="1423">
        <v>0</v>
      </c>
      <c r="F43" s="1464">
        <f t="shared" si="8"/>
        <v>0</v>
      </c>
      <c r="G43" s="99"/>
      <c r="L43" s="1406"/>
      <c r="M43" s="1406"/>
      <c r="N43" s="1406"/>
      <c r="O43" s="1406"/>
      <c r="P43" s="1406"/>
      <c r="Q43" s="1406"/>
      <c r="R43" s="1406"/>
      <c r="S43" s="1406"/>
      <c r="T43" s="1406"/>
      <c r="U43" s="1406"/>
      <c r="V43" s="1406"/>
      <c r="W43" s="32" t="s">
        <v>132</v>
      </c>
      <c r="X43" s="42"/>
      <c r="Y43" s="39"/>
      <c r="Z43" s="419"/>
      <c r="AA43" s="69"/>
      <c r="AB43" s="424"/>
      <c r="AC43" s="31"/>
      <c r="AD43" s="31"/>
      <c r="AE43" s="44"/>
      <c r="AF43" s="39"/>
      <c r="AG43" s="426"/>
      <c r="AH43" s="1411"/>
    </row>
    <row r="44" spans="1:34" ht="15">
      <c r="A44" s="737"/>
      <c r="B44" s="1451"/>
      <c r="C44" s="1422" t="s">
        <v>1152</v>
      </c>
      <c r="D44" s="1430">
        <v>0</v>
      </c>
      <c r="E44" s="1423">
        <v>0</v>
      </c>
      <c r="F44" s="1464">
        <f t="shared" si="8"/>
        <v>0</v>
      </c>
      <c r="G44" s="99"/>
      <c r="W44" s="270" t="s">
        <v>133</v>
      </c>
      <c r="X44" s="33">
        <v>0</v>
      </c>
      <c r="Y44" s="49">
        <v>0</v>
      </c>
      <c r="Z44" s="419">
        <f t="shared" si="3"/>
        <v>0</v>
      </c>
      <c r="AA44" s="40">
        <v>0</v>
      </c>
      <c r="AB44" s="424">
        <f t="shared" si="4"/>
        <v>0</v>
      </c>
      <c r="AC44" s="34">
        <v>15</v>
      </c>
      <c r="AD44" s="34">
        <v>0</v>
      </c>
      <c r="AE44" s="48">
        <v>0</v>
      </c>
      <c r="AF44" s="49">
        <v>0</v>
      </c>
      <c r="AG44" s="426">
        <f t="shared" si="5"/>
        <v>0</v>
      </c>
      <c r="AH44" s="1410">
        <f>IF(AD44&gt;0,1,0)</f>
        <v>0</v>
      </c>
    </row>
    <row r="45" spans="1:34" ht="15">
      <c r="A45" s="737"/>
      <c r="B45" s="1451" t="s">
        <v>1108</v>
      </c>
      <c r="C45" s="1422" t="s">
        <v>1174</v>
      </c>
      <c r="D45" s="1430">
        <v>0</v>
      </c>
      <c r="E45" s="1423">
        <v>0</v>
      </c>
      <c r="F45" s="1464">
        <f t="shared" si="8"/>
        <v>0</v>
      </c>
      <c r="G45" s="99"/>
      <c r="W45" s="270" t="s">
        <v>133</v>
      </c>
      <c r="X45" s="33">
        <v>0</v>
      </c>
      <c r="Y45" s="49">
        <v>0</v>
      </c>
      <c r="Z45" s="419">
        <f t="shared" si="3"/>
        <v>0</v>
      </c>
      <c r="AA45" s="40">
        <v>0</v>
      </c>
      <c r="AB45" s="424">
        <f t="shared" si="4"/>
        <v>0</v>
      </c>
      <c r="AC45" s="34">
        <v>15</v>
      </c>
      <c r="AD45" s="34">
        <v>0</v>
      </c>
      <c r="AE45" s="48">
        <v>0</v>
      </c>
      <c r="AF45" s="49">
        <v>0</v>
      </c>
      <c r="AG45" s="426">
        <f t="shared" si="5"/>
        <v>0</v>
      </c>
      <c r="AH45" s="1410">
        <f>IF(AD45&gt;0,1,0)</f>
        <v>0</v>
      </c>
    </row>
    <row r="46" spans="1:34" ht="15">
      <c r="A46" s="737"/>
      <c r="B46" s="1450"/>
      <c r="C46" s="1422" t="s">
        <v>1175</v>
      </c>
      <c r="D46" s="1430">
        <v>0</v>
      </c>
      <c r="E46" s="1423">
        <v>0</v>
      </c>
      <c r="F46" s="1464">
        <f t="shared" si="8"/>
        <v>0</v>
      </c>
      <c r="G46" s="99"/>
      <c r="W46" s="270" t="s">
        <v>134</v>
      </c>
      <c r="X46" s="33">
        <v>0</v>
      </c>
      <c r="Y46" s="49">
        <v>0</v>
      </c>
      <c r="Z46" s="419">
        <f t="shared" si="3"/>
        <v>0</v>
      </c>
      <c r="AA46" s="40">
        <v>0</v>
      </c>
      <c r="AB46" s="424">
        <f t="shared" si="4"/>
        <v>0</v>
      </c>
      <c r="AC46" s="34">
        <v>10</v>
      </c>
      <c r="AD46" s="34">
        <v>0</v>
      </c>
      <c r="AE46" s="48">
        <v>0</v>
      </c>
      <c r="AF46" s="49">
        <v>0</v>
      </c>
      <c r="AG46" s="426">
        <f t="shared" si="5"/>
        <v>0</v>
      </c>
      <c r="AH46" s="1410">
        <f>IF(AD46&gt;0,1,0)</f>
        <v>0</v>
      </c>
    </row>
    <row r="47" spans="1:34" ht="15">
      <c r="A47" s="737"/>
      <c r="B47" s="1451" t="s">
        <v>1164</v>
      </c>
      <c r="C47" s="1422" t="s">
        <v>1153</v>
      </c>
      <c r="D47" s="1430">
        <v>0</v>
      </c>
      <c r="E47" s="1423">
        <v>0</v>
      </c>
      <c r="F47" s="1464">
        <f t="shared" si="8"/>
        <v>0</v>
      </c>
      <c r="G47" s="99"/>
      <c r="W47" s="32" t="s">
        <v>135</v>
      </c>
      <c r="X47" s="42"/>
      <c r="Y47" s="39"/>
      <c r="Z47" s="419"/>
      <c r="AA47" s="69"/>
      <c r="AB47" s="424"/>
      <c r="AC47" s="31"/>
      <c r="AD47" s="31"/>
      <c r="AE47" s="44"/>
      <c r="AF47" s="39"/>
      <c r="AG47" s="426"/>
      <c r="AH47" s="1411"/>
    </row>
    <row r="48" spans="1:34" ht="15">
      <c r="A48" s="737"/>
      <c r="B48" s="1450"/>
      <c r="C48" s="1422" t="s">
        <v>1153</v>
      </c>
      <c r="D48" s="1430">
        <v>0</v>
      </c>
      <c r="E48" s="1423">
        <v>0</v>
      </c>
      <c r="F48" s="1464">
        <f t="shared" si="8"/>
        <v>0</v>
      </c>
      <c r="G48" s="99"/>
      <c r="W48" s="270" t="s">
        <v>136</v>
      </c>
      <c r="X48" s="33">
        <v>0</v>
      </c>
      <c r="Y48" s="49">
        <v>0</v>
      </c>
      <c r="Z48" s="419">
        <f t="shared" si="3"/>
        <v>0</v>
      </c>
      <c r="AA48" s="40">
        <v>0</v>
      </c>
      <c r="AB48" s="424">
        <f t="shared" si="4"/>
        <v>0</v>
      </c>
      <c r="AC48" s="34">
        <v>15</v>
      </c>
      <c r="AD48" s="34">
        <v>0</v>
      </c>
      <c r="AE48" s="48">
        <v>0</v>
      </c>
      <c r="AF48" s="49">
        <v>0</v>
      </c>
      <c r="AG48" s="426">
        <f t="shared" si="5"/>
        <v>0</v>
      </c>
      <c r="AH48" s="1410">
        <f>IF(AD48&gt;0,1,0)</f>
        <v>0</v>
      </c>
    </row>
    <row r="49" spans="1:34" ht="15">
      <c r="A49" s="1449"/>
      <c r="B49" s="1452"/>
      <c r="C49" s="1425" t="s">
        <v>1153</v>
      </c>
      <c r="D49" s="1429">
        <v>0</v>
      </c>
      <c r="E49" s="667">
        <v>0</v>
      </c>
      <c r="F49" s="1463">
        <f t="shared" si="8"/>
        <v>0</v>
      </c>
      <c r="G49" s="1"/>
      <c r="W49" s="270" t="s">
        <v>137</v>
      </c>
      <c r="X49" s="33">
        <v>0</v>
      </c>
      <c r="Y49" s="49">
        <v>0</v>
      </c>
      <c r="Z49" s="419">
        <f t="shared" si="3"/>
        <v>0</v>
      </c>
      <c r="AA49" s="40">
        <v>0</v>
      </c>
      <c r="AB49" s="424">
        <f t="shared" si="4"/>
        <v>0</v>
      </c>
      <c r="AC49" s="34">
        <v>15</v>
      </c>
      <c r="AD49" s="34">
        <v>0</v>
      </c>
      <c r="AE49" s="48">
        <v>0</v>
      </c>
      <c r="AF49" s="49">
        <v>0</v>
      </c>
      <c r="AG49" s="426">
        <f t="shared" si="5"/>
        <v>0</v>
      </c>
      <c r="AH49" s="1410">
        <f>IF(AD49&gt;0,1,0)</f>
        <v>0</v>
      </c>
    </row>
    <row r="50" spans="1:34" ht="15">
      <c r="A50" s="1448" t="s">
        <v>330</v>
      </c>
      <c r="B50" s="1427" t="s">
        <v>1108</v>
      </c>
      <c r="C50" s="1424" t="s">
        <v>1174</v>
      </c>
      <c r="D50" s="1428">
        <v>0</v>
      </c>
      <c r="E50" s="929">
        <v>0</v>
      </c>
      <c r="F50" s="1462">
        <f t="shared" si="8"/>
        <v>0</v>
      </c>
      <c r="G50" s="99"/>
      <c r="W50" s="270" t="s">
        <v>138</v>
      </c>
      <c r="X50" s="33">
        <v>0</v>
      </c>
      <c r="Y50" s="49">
        <v>0</v>
      </c>
      <c r="Z50" s="419">
        <f t="shared" si="3"/>
        <v>0</v>
      </c>
      <c r="AA50" s="40">
        <v>0</v>
      </c>
      <c r="AB50" s="424">
        <f t="shared" si="4"/>
        <v>0</v>
      </c>
      <c r="AC50" s="34">
        <v>15</v>
      </c>
      <c r="AD50" s="34">
        <v>0</v>
      </c>
      <c r="AE50" s="48">
        <v>0</v>
      </c>
      <c r="AF50" s="49">
        <v>0</v>
      </c>
      <c r="AG50" s="426">
        <f t="shared" si="5"/>
        <v>0</v>
      </c>
      <c r="AH50" s="1410">
        <f>IF(AD50&gt;0,1,0)</f>
        <v>0</v>
      </c>
    </row>
    <row r="51" spans="1:34" ht="15">
      <c r="A51" s="737"/>
      <c r="B51" s="1451" t="s">
        <v>1164</v>
      </c>
      <c r="C51" s="1422" t="s">
        <v>1153</v>
      </c>
      <c r="D51" s="1430">
        <v>0</v>
      </c>
      <c r="E51" s="1423">
        <v>0</v>
      </c>
      <c r="F51" s="1464">
        <f t="shared" si="8"/>
        <v>0</v>
      </c>
      <c r="G51" s="99"/>
      <c r="W51" s="32" t="s">
        <v>139</v>
      </c>
      <c r="X51" s="42"/>
      <c r="Y51" s="39"/>
      <c r="Z51" s="419"/>
      <c r="AA51" s="69"/>
      <c r="AB51" s="424"/>
      <c r="AC51" s="31"/>
      <c r="AD51" s="31"/>
      <c r="AE51" s="44"/>
      <c r="AF51" s="39"/>
      <c r="AG51" s="426"/>
      <c r="AH51" s="1411"/>
    </row>
    <row r="52" spans="1:34" ht="15">
      <c r="A52" s="1449"/>
      <c r="B52" s="1453"/>
      <c r="C52" s="1425" t="s">
        <v>1156</v>
      </c>
      <c r="D52" s="1429">
        <v>0</v>
      </c>
      <c r="E52" s="667">
        <v>0</v>
      </c>
      <c r="F52" s="1463">
        <f t="shared" si="8"/>
        <v>0</v>
      </c>
      <c r="G52" s="1"/>
      <c r="W52" s="270" t="s">
        <v>140</v>
      </c>
      <c r="X52" s="33">
        <v>0</v>
      </c>
      <c r="Y52" s="49">
        <v>0</v>
      </c>
      <c r="Z52" s="419">
        <f t="shared" si="3"/>
        <v>0</v>
      </c>
      <c r="AA52" s="40">
        <v>0</v>
      </c>
      <c r="AB52" s="424">
        <f t="shared" si="4"/>
        <v>0</v>
      </c>
      <c r="AC52" s="34">
        <v>12</v>
      </c>
      <c r="AD52" s="34">
        <v>0</v>
      </c>
      <c r="AE52" s="48">
        <v>0</v>
      </c>
      <c r="AF52" s="49">
        <v>0</v>
      </c>
      <c r="AG52" s="426">
        <f t="shared" si="5"/>
        <v>0</v>
      </c>
      <c r="AH52" s="1410">
        <f>IF(AD52&gt;0,1,0)</f>
        <v>0</v>
      </c>
    </row>
    <row r="53" spans="1:34" ht="15">
      <c r="A53" s="1448" t="s">
        <v>1004</v>
      </c>
      <c r="B53" s="1427" t="s">
        <v>1108</v>
      </c>
      <c r="C53" s="1424" t="s">
        <v>1174</v>
      </c>
      <c r="D53" s="1428">
        <v>0</v>
      </c>
      <c r="E53" s="929">
        <v>0</v>
      </c>
      <c r="F53" s="1462">
        <f t="shared" si="8"/>
        <v>0</v>
      </c>
      <c r="G53" s="99"/>
      <c r="W53" s="270" t="s">
        <v>141</v>
      </c>
      <c r="X53" s="33">
        <v>0</v>
      </c>
      <c r="Y53" s="49">
        <v>0</v>
      </c>
      <c r="Z53" s="419">
        <f t="shared" si="3"/>
        <v>0</v>
      </c>
      <c r="AA53" s="40">
        <v>0</v>
      </c>
      <c r="AB53" s="424">
        <f t="shared" si="4"/>
        <v>0</v>
      </c>
      <c r="AC53" s="34">
        <v>15</v>
      </c>
      <c r="AD53" s="34">
        <v>0</v>
      </c>
      <c r="AE53" s="48">
        <v>0</v>
      </c>
      <c r="AF53" s="49">
        <v>0</v>
      </c>
      <c r="AG53" s="426">
        <f t="shared" si="5"/>
        <v>0</v>
      </c>
      <c r="AH53" s="1410">
        <f>IF(AD53&gt;0,1,0)</f>
        <v>0</v>
      </c>
    </row>
    <row r="54" spans="1:34" ht="15">
      <c r="A54" s="1426"/>
      <c r="B54" s="1451" t="s">
        <v>1164</v>
      </c>
      <c r="C54" s="1422" t="s">
        <v>1158</v>
      </c>
      <c r="D54" s="1430">
        <v>0</v>
      </c>
      <c r="E54" s="1423">
        <v>0</v>
      </c>
      <c r="F54" s="1464">
        <f t="shared" si="8"/>
        <v>0</v>
      </c>
      <c r="G54" s="99"/>
      <c r="W54" s="270" t="s">
        <v>142</v>
      </c>
      <c r="X54" s="33">
        <v>0</v>
      </c>
      <c r="Y54" s="49">
        <v>0</v>
      </c>
      <c r="Z54" s="419">
        <f t="shared" si="3"/>
        <v>0</v>
      </c>
      <c r="AA54" s="40">
        <v>0</v>
      </c>
      <c r="AB54" s="424">
        <f t="shared" si="4"/>
        <v>0</v>
      </c>
      <c r="AC54" s="34">
        <v>10</v>
      </c>
      <c r="AD54" s="34">
        <v>0</v>
      </c>
      <c r="AE54" s="48">
        <v>0</v>
      </c>
      <c r="AF54" s="49">
        <v>0</v>
      </c>
      <c r="AG54" s="426">
        <f t="shared" si="5"/>
        <v>0</v>
      </c>
      <c r="AH54" s="1410">
        <f>IF(AD54&gt;0,1,0)</f>
        <v>0</v>
      </c>
    </row>
    <row r="55" spans="1:34" ht="15">
      <c r="A55" s="1454"/>
      <c r="B55" s="1453"/>
      <c r="C55" s="1425" t="s">
        <v>1153</v>
      </c>
      <c r="D55" s="1429">
        <v>0</v>
      </c>
      <c r="E55" s="667">
        <v>0</v>
      </c>
      <c r="F55" s="1463">
        <f t="shared" si="8"/>
        <v>0</v>
      </c>
      <c r="G55" s="1"/>
      <c r="W55" s="274" t="s">
        <v>143</v>
      </c>
      <c r="X55" s="33">
        <v>0</v>
      </c>
      <c r="Y55" s="49">
        <v>0</v>
      </c>
      <c r="Z55" s="419">
        <f t="shared" si="3"/>
        <v>0</v>
      </c>
      <c r="AA55" s="40">
        <v>0</v>
      </c>
      <c r="AB55" s="424">
        <f t="shared" si="4"/>
        <v>0</v>
      </c>
      <c r="AC55" s="34">
        <v>15</v>
      </c>
      <c r="AD55" s="34">
        <v>0</v>
      </c>
      <c r="AE55" s="48">
        <v>0</v>
      </c>
      <c r="AF55" s="49">
        <v>0</v>
      </c>
      <c r="AG55" s="426">
        <f t="shared" si="5"/>
        <v>0</v>
      </c>
      <c r="AH55" s="1410">
        <f>IF(AD55&gt;0,1,0)</f>
        <v>0</v>
      </c>
    </row>
    <row r="56" spans="1:34" ht="15.75">
      <c r="A56" s="3"/>
      <c r="B56" s="1437" t="s">
        <v>1159</v>
      </c>
      <c r="C56" s="1128"/>
      <c r="D56" s="1128"/>
      <c r="E56" s="1432"/>
      <c r="F56" s="1465">
        <f>SUM(F35:F55)</f>
        <v>0</v>
      </c>
      <c r="G56" s="99"/>
      <c r="W56" s="270" t="s">
        <v>144</v>
      </c>
      <c r="X56" s="33">
        <v>0</v>
      </c>
      <c r="Y56" s="49">
        <v>0</v>
      </c>
      <c r="Z56" s="419">
        <f t="shared" si="3"/>
        <v>0</v>
      </c>
      <c r="AA56" s="40">
        <v>0</v>
      </c>
      <c r="AB56" s="424">
        <f t="shared" si="4"/>
        <v>0</v>
      </c>
      <c r="AC56" s="34">
        <v>12</v>
      </c>
      <c r="AD56" s="34">
        <v>0</v>
      </c>
      <c r="AE56" s="48">
        <v>0</v>
      </c>
      <c r="AF56" s="49">
        <v>0</v>
      </c>
      <c r="AG56" s="426">
        <f t="shared" si="5"/>
        <v>0</v>
      </c>
      <c r="AH56" s="1410">
        <f>IF(AD56&gt;0,1,0)</f>
        <v>0</v>
      </c>
    </row>
    <row r="57" spans="1:34" ht="15">
      <c r="A57" s="1455"/>
      <c r="B57" s="1456" t="s">
        <v>1170</v>
      </c>
      <c r="C57" s="1466"/>
      <c r="D57" s="1467" t="s">
        <v>557</v>
      </c>
      <c r="G57" s="1"/>
      <c r="W57" s="417" t="s">
        <v>145</v>
      </c>
      <c r="X57" s="42"/>
      <c r="Y57" s="39"/>
      <c r="Z57" s="419"/>
      <c r="AA57" s="43"/>
      <c r="AB57" s="424"/>
      <c r="AC57" s="31"/>
      <c r="AD57" s="31"/>
      <c r="AE57" s="44"/>
      <c r="AF57" s="39"/>
      <c r="AG57" s="426"/>
      <c r="AH57" s="1411"/>
    </row>
    <row r="58" spans="1:34" ht="15">
      <c r="A58" s="1455"/>
      <c r="B58" s="1457"/>
      <c r="C58" s="1468" t="s">
        <v>1169</v>
      </c>
      <c r="D58" s="1469">
        <f>+F36+F35</f>
        <v>0</v>
      </c>
      <c r="O58" s="266"/>
      <c r="W58" s="270" t="s">
        <v>146</v>
      </c>
      <c r="X58" s="33">
        <v>0</v>
      </c>
      <c r="Y58" s="49">
        <v>0</v>
      </c>
      <c r="Z58" s="419">
        <f t="shared" si="3"/>
        <v>0</v>
      </c>
      <c r="AA58" s="40">
        <v>0</v>
      </c>
      <c r="AB58" s="424">
        <f t="shared" si="4"/>
        <v>0</v>
      </c>
      <c r="AC58" s="34">
        <v>10</v>
      </c>
      <c r="AD58" s="34">
        <v>0</v>
      </c>
      <c r="AE58" s="48">
        <v>0</v>
      </c>
      <c r="AF58" s="49">
        <v>0</v>
      </c>
      <c r="AG58" s="426">
        <f t="shared" si="5"/>
        <v>0</v>
      </c>
      <c r="AH58" s="1410">
        <f>IF(AD58&gt;0,1,0)</f>
        <v>0</v>
      </c>
    </row>
    <row r="59" spans="1:34" ht="15">
      <c r="A59" s="1455"/>
      <c r="B59" s="1457"/>
      <c r="C59" s="1470" t="s">
        <v>1162</v>
      </c>
      <c r="D59" s="1471">
        <f>SUM(F37:F40)</f>
        <v>0</v>
      </c>
      <c r="O59" s="266"/>
      <c r="W59" s="270" t="s">
        <v>1198</v>
      </c>
      <c r="X59" s="33">
        <v>0</v>
      </c>
      <c r="Y59" s="49">
        <v>0</v>
      </c>
      <c r="Z59" s="419">
        <f t="shared" si="3"/>
        <v>0</v>
      </c>
      <c r="AA59" s="40">
        <v>0</v>
      </c>
      <c r="AB59" s="424">
        <f t="shared" si="4"/>
        <v>0</v>
      </c>
      <c r="AC59" s="34">
        <v>10</v>
      </c>
      <c r="AD59" s="34">
        <v>0</v>
      </c>
      <c r="AE59" s="48">
        <v>0</v>
      </c>
      <c r="AF59" s="49">
        <v>0</v>
      </c>
      <c r="AG59" s="426">
        <f t="shared" si="5"/>
        <v>0</v>
      </c>
      <c r="AH59" s="1410">
        <f>IF(AD59&gt;0,1,0)</f>
        <v>0</v>
      </c>
    </row>
    <row r="60" spans="1:34" ht="15">
      <c r="A60" s="1455"/>
      <c r="B60" s="1457"/>
      <c r="C60" s="1468" t="s">
        <v>329</v>
      </c>
      <c r="D60" s="1471">
        <f>SUM(F41:F49)</f>
        <v>0</v>
      </c>
      <c r="O60" s="266"/>
      <c r="W60" s="270" t="s">
        <v>147</v>
      </c>
      <c r="X60" s="33">
        <v>0</v>
      </c>
      <c r="Y60" s="49">
        <v>0</v>
      </c>
      <c r="Z60" s="419">
        <f t="shared" si="3"/>
        <v>0</v>
      </c>
      <c r="AA60" s="40">
        <v>0</v>
      </c>
      <c r="AB60" s="424">
        <f t="shared" si="4"/>
        <v>0</v>
      </c>
      <c r="AC60" s="34">
        <v>10</v>
      </c>
      <c r="AD60" s="34">
        <v>0</v>
      </c>
      <c r="AE60" s="48">
        <v>0</v>
      </c>
      <c r="AF60" s="49">
        <v>0</v>
      </c>
      <c r="AG60" s="426">
        <f t="shared" si="5"/>
        <v>0</v>
      </c>
      <c r="AH60" s="1410">
        <f>IF(AD60&gt;0,1,0)</f>
        <v>0</v>
      </c>
    </row>
    <row r="61" spans="1:38" ht="15">
      <c r="A61" s="1455"/>
      <c r="B61" s="1457"/>
      <c r="C61" s="1468" t="s">
        <v>330</v>
      </c>
      <c r="D61" s="1471">
        <f>SUM(F50:F52)</f>
        <v>0</v>
      </c>
      <c r="O61" s="266"/>
      <c r="W61" s="58" t="s">
        <v>126</v>
      </c>
      <c r="X61" s="50"/>
      <c r="Y61" s="103"/>
      <c r="Z61" s="420">
        <f>SUM(Z6:Z10)*0.5+SUM(Z18:Z60)*0.5</f>
        <v>0</v>
      </c>
      <c r="AA61" s="420">
        <f>SUM(AA6:AA10)+SUM(AA18:AA60)</f>
        <v>0</v>
      </c>
      <c r="AB61" s="420">
        <f>SUM(AB6:AB60)</f>
        <v>0</v>
      </c>
      <c r="AC61" s="269"/>
      <c r="AD61" s="104"/>
      <c r="AE61" s="50"/>
      <c r="AF61" s="51"/>
      <c r="AG61" s="428">
        <f>SUM(AG6:AG10)+SUM(AG18:AG60)</f>
        <v>0</v>
      </c>
      <c r="AH61" s="1411"/>
      <c r="AJ61" s="1146"/>
      <c r="AK61" s="1146"/>
      <c r="AL61" s="1146"/>
    </row>
    <row r="62" spans="1:34" s="1146" customFormat="1" ht="15">
      <c r="A62" s="1458"/>
      <c r="B62" s="1457"/>
      <c r="C62" s="1468" t="s">
        <v>1004</v>
      </c>
      <c r="D62" s="1472">
        <f>SUM(F53:F55)</f>
        <v>0</v>
      </c>
      <c r="W62" s="1147"/>
      <c r="X62" s="1147"/>
      <c r="Y62" s="1147"/>
      <c r="Z62" s="1147"/>
      <c r="AA62" s="1147"/>
      <c r="AB62" s="1147"/>
      <c r="AC62" s="1147">
        <f>SUM(AD6:AD60)</f>
        <v>0</v>
      </c>
      <c r="AD62" s="1148">
        <f>SUM(AH6:AH60)</f>
        <v>0</v>
      </c>
      <c r="AE62" s="947"/>
      <c r="AF62" s="1057"/>
      <c r="AG62" s="947"/>
      <c r="AH62" s="1407"/>
    </row>
    <row r="63" spans="1:34" s="1146" customFormat="1" ht="15">
      <c r="A63" s="1458"/>
      <c r="B63" s="1459" t="s">
        <v>1171</v>
      </c>
      <c r="C63" s="1473"/>
      <c r="D63" s="1474" t="s">
        <v>557</v>
      </c>
      <c r="W63" s="1149" t="s">
        <v>148</v>
      </c>
      <c r="X63" s="1148"/>
      <c r="Y63" s="1148"/>
      <c r="Z63" s="1148"/>
      <c r="AA63" s="1148"/>
      <c r="AB63" s="1148"/>
      <c r="AC63" s="1148">
        <f>IF(AD62=0,0,AC62/AD62)</f>
        <v>0</v>
      </c>
      <c r="AD63" s="1148"/>
      <c r="AE63" s="947"/>
      <c r="AF63" s="1057"/>
      <c r="AG63" s="947"/>
      <c r="AH63" s="1407"/>
    </row>
    <row r="64" spans="1:34" s="1146" customFormat="1" ht="15">
      <c r="A64" s="1458"/>
      <c r="B64" s="1460"/>
      <c r="C64" s="505" t="s">
        <v>1172</v>
      </c>
      <c r="D64" s="1475">
        <f>+F35+F36+F37+F38+F45+F46+F50+F53</f>
        <v>0</v>
      </c>
      <c r="W64" s="947"/>
      <c r="X64" s="947"/>
      <c r="Y64" s="947"/>
      <c r="Z64" s="947"/>
      <c r="AA64" s="947"/>
      <c r="AB64" s="947"/>
      <c r="AC64" s="947"/>
      <c r="AD64" s="947"/>
      <c r="AE64" s="947"/>
      <c r="AF64" s="947"/>
      <c r="AG64" s="947"/>
      <c r="AH64" s="1407"/>
    </row>
    <row r="65" spans="1:34" s="1146" customFormat="1" ht="15">
      <c r="A65" s="1458"/>
      <c r="B65" s="1461"/>
      <c r="C65" s="1476" t="s">
        <v>1173</v>
      </c>
      <c r="D65" s="1477">
        <f>+F56-D64</f>
        <v>0</v>
      </c>
      <c r="AH65" s="1412"/>
    </row>
    <row r="66" spans="34:38" s="1146" customFormat="1" ht="15">
      <c r="AH66" s="1412"/>
      <c r="AJ66"/>
      <c r="AK66"/>
      <c r="AL66"/>
    </row>
    <row r="67" spans="15:34" ht="15">
      <c r="O67" s="266"/>
      <c r="AH67" s="1412"/>
    </row>
    <row r="68" ht="15">
      <c r="AH68" s="1412"/>
    </row>
    <row r="69" spans="16:34" ht="15">
      <c r="P69" s="267"/>
      <c r="AH69" s="1412"/>
    </row>
    <row r="70" ht="15">
      <c r="AH70" s="1412"/>
    </row>
    <row r="71" ht="15">
      <c r="AH71" s="1412"/>
    </row>
    <row r="72" ht="15">
      <c r="AH72" s="1412"/>
    </row>
    <row r="73" ht="15">
      <c r="AH73" s="1412"/>
    </row>
    <row r="74" ht="15">
      <c r="AH74" s="1412"/>
    </row>
    <row r="75" ht="15">
      <c r="AH75" s="1412"/>
    </row>
    <row r="76" ht="15">
      <c r="AH76" s="1412"/>
    </row>
    <row r="77" ht="15">
      <c r="AH77" s="1412"/>
    </row>
    <row r="83" ht="15" customHeight="1"/>
    <row r="84" ht="15">
      <c r="A84" s="412"/>
    </row>
    <row r="103" spans="1:38" s="728" customFormat="1" ht="15">
      <c r="A103"/>
      <c r="B103"/>
      <c r="C103"/>
      <c r="D103"/>
      <c r="E103"/>
      <c r="F103"/>
      <c r="G103"/>
      <c r="H103"/>
      <c r="AH103" s="729"/>
      <c r="AJ103"/>
      <c r="AK103"/>
      <c r="AL103"/>
    </row>
    <row r="104" spans="3:38" s="728" customFormat="1" ht="15.75">
      <c r="C104"/>
      <c r="D104"/>
      <c r="E104"/>
      <c r="F104"/>
      <c r="AH104" s="729"/>
      <c r="AJ104" s="1415"/>
      <c r="AK104" s="1415"/>
      <c r="AL104" s="1415"/>
    </row>
    <row r="105" spans="1:250" s="1150" customFormat="1" ht="15.75">
      <c r="A105" s="1414"/>
      <c r="B105" s="1414"/>
      <c r="C105" s="1414"/>
      <c r="D105" s="1414"/>
      <c r="E105" s="1414"/>
      <c r="F105" s="1414"/>
      <c r="G105" s="1414"/>
      <c r="H105" s="1414"/>
      <c r="I105" s="1414"/>
      <c r="J105" s="1414"/>
      <c r="K105" s="1414"/>
      <c r="L105" s="1414"/>
      <c r="M105" s="1414"/>
      <c r="N105" s="1414"/>
      <c r="O105" s="1414"/>
      <c r="P105" s="1414"/>
      <c r="Q105" s="1414"/>
      <c r="R105" s="1414"/>
      <c r="S105" s="1414"/>
      <c r="T105" s="1415"/>
      <c r="U105" s="1415"/>
      <c r="V105" s="1415"/>
      <c r="W105" s="1415"/>
      <c r="X105" s="1415"/>
      <c r="Y105" s="1415"/>
      <c r="Z105" s="1415"/>
      <c r="AA105" s="1415"/>
      <c r="AB105" s="1415"/>
      <c r="AC105" s="1415"/>
      <c r="AD105" s="1415"/>
      <c r="AE105" s="1415"/>
      <c r="AF105" s="1415"/>
      <c r="AG105" s="1415"/>
      <c r="AH105" s="1415"/>
      <c r="AI105" s="1415"/>
      <c r="AJ105" s="599"/>
      <c r="AK105" s="599"/>
      <c r="AL105" s="1416"/>
      <c r="AM105" s="1415"/>
      <c r="AN105" s="1415"/>
      <c r="AO105" s="1415"/>
      <c r="AP105" s="1415"/>
      <c r="AQ105" s="1415"/>
      <c r="AR105" s="1415"/>
      <c r="AS105" s="1415"/>
      <c r="AT105" s="1415"/>
      <c r="AU105" s="1415"/>
      <c r="AV105" s="1415"/>
      <c r="AW105" s="1415"/>
      <c r="AX105" s="1415"/>
      <c r="AY105" s="1415"/>
      <c r="AZ105" s="1415"/>
      <c r="BA105" s="1415"/>
      <c r="BB105" s="1415"/>
      <c r="BC105" s="1415"/>
      <c r="BD105" s="1415"/>
      <c r="BE105" s="1415"/>
      <c r="BF105" s="1415"/>
      <c r="BG105" s="1415"/>
      <c r="BH105" s="1415"/>
      <c r="BI105" s="1415"/>
      <c r="BJ105" s="1415"/>
      <c r="BK105" s="1415"/>
      <c r="BL105" s="1415"/>
      <c r="BM105" s="1415"/>
      <c r="BN105" s="1415"/>
      <c r="BO105" s="1415"/>
      <c r="BP105" s="1415"/>
      <c r="BQ105" s="1415"/>
      <c r="BR105" s="1415"/>
      <c r="BS105" s="1415"/>
      <c r="BT105" s="1415"/>
      <c r="BU105" s="1415"/>
      <c r="BV105" s="1415"/>
      <c r="BW105" s="1415"/>
      <c r="BX105" s="1415"/>
      <c r="BY105" s="1415"/>
      <c r="BZ105" s="1415"/>
      <c r="CA105" s="1415"/>
      <c r="CB105" s="1415"/>
      <c r="CC105" s="1415"/>
      <c r="CD105" s="1415"/>
      <c r="CE105" s="1415"/>
      <c r="CF105" s="1415"/>
      <c r="CG105" s="1415"/>
      <c r="CH105" s="1415"/>
      <c r="CI105" s="1415"/>
      <c r="CJ105" s="1415"/>
      <c r="CK105" s="1415"/>
      <c r="CL105" s="1415"/>
      <c r="CM105" s="1415"/>
      <c r="CN105" s="1415"/>
      <c r="CO105" s="1415"/>
      <c r="CP105" s="1415"/>
      <c r="CQ105" s="1415"/>
      <c r="CR105" s="1415"/>
      <c r="CS105" s="1415"/>
      <c r="CT105" s="1415"/>
      <c r="CU105" s="1415"/>
      <c r="CV105" s="1415"/>
      <c r="CW105" s="1415"/>
      <c r="CX105" s="1415"/>
      <c r="CY105" s="1415"/>
      <c r="CZ105" s="1415"/>
      <c r="DA105" s="1415"/>
      <c r="DB105" s="1415"/>
      <c r="DC105" s="1415"/>
      <c r="DD105" s="1415"/>
      <c r="DE105" s="1415"/>
      <c r="DF105" s="1415"/>
      <c r="DG105" s="1415"/>
      <c r="DH105" s="1415"/>
      <c r="DI105" s="1415"/>
      <c r="DJ105" s="1415"/>
      <c r="DK105" s="1415"/>
      <c r="DL105" s="1415"/>
      <c r="DM105" s="1415"/>
      <c r="DN105" s="1415"/>
      <c r="DO105" s="1415"/>
      <c r="DP105" s="1415"/>
      <c r="DQ105" s="1415"/>
      <c r="DR105" s="1415"/>
      <c r="DS105" s="1415"/>
      <c r="DT105" s="1415"/>
      <c r="DU105" s="1415"/>
      <c r="DV105" s="1415"/>
      <c r="DW105" s="1415"/>
      <c r="DX105" s="1415"/>
      <c r="DY105" s="1415"/>
      <c r="DZ105" s="1415"/>
      <c r="EA105" s="1415"/>
      <c r="EB105" s="1415"/>
      <c r="EC105" s="1415"/>
      <c r="ED105" s="1415"/>
      <c r="EE105" s="1415"/>
      <c r="EF105" s="1415"/>
      <c r="EG105" s="1415"/>
      <c r="EH105" s="1415"/>
      <c r="EI105" s="1415"/>
      <c r="EJ105" s="1415"/>
      <c r="EK105" s="1415"/>
      <c r="EL105" s="1415"/>
      <c r="EM105" s="1415"/>
      <c r="EN105" s="1415"/>
      <c r="EO105" s="1415"/>
      <c r="EP105" s="1415"/>
      <c r="EQ105" s="1415"/>
      <c r="ER105" s="1415"/>
      <c r="ES105" s="1415"/>
      <c r="ET105" s="1415"/>
      <c r="EU105" s="1415"/>
      <c r="EV105" s="1415"/>
      <c r="EW105" s="1415"/>
      <c r="EX105" s="1415"/>
      <c r="EY105" s="1415"/>
      <c r="EZ105" s="1415"/>
      <c r="FA105" s="1415"/>
      <c r="FB105" s="1415"/>
      <c r="FC105" s="1415"/>
      <c r="FD105" s="1415"/>
      <c r="FE105" s="1415"/>
      <c r="FF105" s="1415"/>
      <c r="FG105" s="1415"/>
      <c r="FH105" s="1415"/>
      <c r="FI105" s="1415"/>
      <c r="FJ105" s="1415"/>
      <c r="FK105" s="1415"/>
      <c r="FL105" s="1415"/>
      <c r="FM105" s="1415"/>
      <c r="FN105" s="1415"/>
      <c r="FO105" s="1415"/>
      <c r="FP105" s="1415"/>
      <c r="FQ105" s="1415"/>
      <c r="FR105" s="1415"/>
      <c r="FS105" s="1415"/>
      <c r="FT105" s="1415"/>
      <c r="FU105" s="1415"/>
      <c r="FV105" s="1415"/>
      <c r="FW105" s="1415"/>
      <c r="FX105" s="1415"/>
      <c r="FY105" s="1415"/>
      <c r="FZ105" s="1415"/>
      <c r="GA105" s="1415"/>
      <c r="GB105" s="1415"/>
      <c r="GC105" s="1414"/>
      <c r="GD105" s="1414"/>
      <c r="GE105" s="1414"/>
      <c r="GF105" s="1414"/>
      <c r="GG105" s="1414"/>
      <c r="GH105" s="1415"/>
      <c r="GI105" s="1415"/>
      <c r="GJ105" s="1415"/>
      <c r="GK105" s="1415"/>
      <c r="GL105" s="1415"/>
      <c r="GM105" s="1415"/>
      <c r="GN105" s="1415"/>
      <c r="GO105" s="1415"/>
      <c r="GP105" s="1415"/>
      <c r="GQ105" s="1415"/>
      <c r="GR105" s="1417"/>
      <c r="GS105" s="1417"/>
      <c r="GT105" s="1417"/>
      <c r="GU105" s="1417"/>
      <c r="GV105" s="1417"/>
      <c r="GW105" s="1417"/>
      <c r="GX105" s="1417"/>
      <c r="GY105" s="1417"/>
      <c r="GZ105" s="1417"/>
      <c r="HA105" s="1417"/>
      <c r="HB105" s="1417"/>
      <c r="HC105" s="1417"/>
      <c r="HD105" s="1417"/>
      <c r="HE105" s="1417"/>
      <c r="HF105" s="1418"/>
      <c r="HG105" s="1418"/>
      <c r="HH105" s="1418"/>
      <c r="HI105" s="1418"/>
      <c r="HJ105" s="1418"/>
      <c r="HK105" s="1418"/>
      <c r="HL105" s="1418"/>
      <c r="HM105" s="1418"/>
      <c r="HN105" s="1418"/>
      <c r="HO105" s="1418"/>
      <c r="HP105" s="1418"/>
      <c r="HQ105" s="1418"/>
      <c r="HR105" s="1418"/>
      <c r="HS105" s="1418"/>
      <c r="HT105" s="1418"/>
      <c r="HU105" s="1418"/>
      <c r="HV105" s="1418"/>
      <c r="HW105" s="1418"/>
      <c r="HX105" s="1418"/>
      <c r="HY105" s="1418"/>
      <c r="HZ105" s="1418"/>
      <c r="IA105" s="1418"/>
      <c r="IB105" s="1418"/>
      <c r="IC105" s="1418"/>
      <c r="ID105" s="1418"/>
      <c r="IE105" s="1418"/>
      <c r="IF105" s="1418"/>
      <c r="IG105" s="1418"/>
      <c r="IH105" s="1418"/>
      <c r="II105" s="1418"/>
      <c r="IJ105" s="1418"/>
      <c r="IK105" s="1418"/>
      <c r="IL105" s="1418"/>
      <c r="IM105" s="1418"/>
      <c r="IN105" s="1418"/>
      <c r="IO105" s="1418"/>
      <c r="IP105" s="1418"/>
    </row>
    <row r="106" spans="20:222" s="1151" customFormat="1" ht="12.75">
      <c r="T106" s="599"/>
      <c r="U106" s="599"/>
      <c r="V106" s="599"/>
      <c r="W106" s="599"/>
      <c r="X106" s="599"/>
      <c r="Y106" s="599"/>
      <c r="Z106" s="599"/>
      <c r="AA106" s="599"/>
      <c r="AB106" s="599"/>
      <c r="AC106" s="599"/>
      <c r="AD106" s="599"/>
      <c r="AE106" s="599"/>
      <c r="AF106" s="599"/>
      <c r="AG106" s="599"/>
      <c r="AH106" s="599"/>
      <c r="AI106" s="599"/>
      <c r="AM106" s="599"/>
      <c r="AN106" s="599"/>
      <c r="AO106" s="599"/>
      <c r="AP106" s="599"/>
      <c r="AQ106" s="599"/>
      <c r="AR106" s="599"/>
      <c r="AS106" s="599"/>
      <c r="AT106" s="599"/>
      <c r="AU106" s="599"/>
      <c r="AV106" s="599"/>
      <c r="AW106" s="599"/>
      <c r="AX106" s="599"/>
      <c r="AY106" s="599"/>
      <c r="AZ106" s="599"/>
      <c r="BA106" s="599"/>
      <c r="BB106" s="599"/>
      <c r="BC106" s="599"/>
      <c r="BD106" s="599"/>
      <c r="BE106" s="599"/>
      <c r="BF106" s="599"/>
      <c r="BG106" s="599"/>
      <c r="BH106" s="599"/>
      <c r="BI106" s="599"/>
      <c r="BJ106" s="599"/>
      <c r="BK106" s="599"/>
      <c r="BL106" s="599"/>
      <c r="BM106" s="599"/>
      <c r="BN106" s="599"/>
      <c r="BO106" s="599"/>
      <c r="BP106" s="599"/>
      <c r="BQ106" s="599"/>
      <c r="BR106" s="599"/>
      <c r="BS106" s="599"/>
      <c r="BT106" s="599"/>
      <c r="BU106" s="599"/>
      <c r="BV106" s="599"/>
      <c r="BW106" s="599"/>
      <c r="BX106" s="599"/>
      <c r="BY106" s="599"/>
      <c r="BZ106" s="599"/>
      <c r="CA106" s="599"/>
      <c r="CB106" s="599"/>
      <c r="CC106" s="599"/>
      <c r="CD106" s="599"/>
      <c r="CE106" s="599"/>
      <c r="CF106" s="599"/>
      <c r="CG106" s="599"/>
      <c r="CH106" s="599"/>
      <c r="CI106" s="599"/>
      <c r="CJ106" s="599"/>
      <c r="CK106" s="599"/>
      <c r="CL106" s="599"/>
      <c r="CM106" s="599"/>
      <c r="CN106" s="599"/>
      <c r="CO106" s="599"/>
      <c r="CP106" s="599"/>
      <c r="CQ106" s="599"/>
      <c r="CR106" s="599"/>
      <c r="CS106" s="599"/>
      <c r="CT106" s="599"/>
      <c r="CU106" s="599"/>
      <c r="CV106" s="599"/>
      <c r="CW106" s="599"/>
      <c r="CX106" s="599"/>
      <c r="CY106" s="599"/>
      <c r="CZ106" s="599"/>
      <c r="DA106" s="599"/>
      <c r="DB106" s="599"/>
      <c r="DC106" s="599"/>
      <c r="DD106" s="599"/>
      <c r="DE106" s="599"/>
      <c r="DF106" s="599"/>
      <c r="DG106" s="599"/>
      <c r="DH106" s="599"/>
      <c r="DI106" s="599"/>
      <c r="DJ106" s="599"/>
      <c r="DK106" s="599"/>
      <c r="DL106" s="599"/>
      <c r="DM106" s="599"/>
      <c r="DN106" s="599"/>
      <c r="DO106" s="599"/>
      <c r="DP106" s="599"/>
      <c r="DQ106" s="599"/>
      <c r="DR106" s="599"/>
      <c r="DS106" s="599"/>
      <c r="DT106" s="599"/>
      <c r="DU106" s="599"/>
      <c r="DV106" s="599"/>
      <c r="DW106" s="599"/>
      <c r="DX106" s="599"/>
      <c r="DY106" s="599"/>
      <c r="DZ106" s="599"/>
      <c r="EA106" s="599"/>
      <c r="EB106" s="599"/>
      <c r="EC106" s="599"/>
      <c r="ED106" s="599"/>
      <c r="EE106" s="599"/>
      <c r="EF106" s="599"/>
      <c r="EG106" s="599"/>
      <c r="EH106" s="599"/>
      <c r="EI106" s="599"/>
      <c r="EJ106" s="599"/>
      <c r="EK106" s="599"/>
      <c r="EL106" s="599"/>
      <c r="EM106" s="599"/>
      <c r="EN106" s="599"/>
      <c r="EO106" s="599"/>
      <c r="EP106" s="599"/>
      <c r="EQ106" s="599"/>
      <c r="ER106" s="599"/>
      <c r="ES106" s="599"/>
      <c r="ET106" s="599"/>
      <c r="EU106" s="599"/>
      <c r="EV106" s="599"/>
      <c r="EW106" s="599"/>
      <c r="EX106" s="599"/>
      <c r="EY106" s="599"/>
      <c r="EZ106" s="599"/>
      <c r="FA106" s="599"/>
      <c r="FB106" s="599"/>
      <c r="FC106" s="599"/>
      <c r="FD106" s="599"/>
      <c r="FE106" s="599"/>
      <c r="FF106" s="599"/>
      <c r="FG106" s="599"/>
      <c r="FH106" s="599"/>
      <c r="FI106" s="599"/>
      <c r="FJ106" s="599"/>
      <c r="FK106" s="599"/>
      <c r="FL106" s="599"/>
      <c r="FM106" s="599"/>
      <c r="FN106" s="599"/>
      <c r="FO106" s="1419"/>
      <c r="FP106" s="1419"/>
      <c r="FQ106" s="1419"/>
      <c r="FR106" s="1419"/>
      <c r="FS106" s="1419"/>
      <c r="FT106" s="1152"/>
      <c r="FU106" s="1152"/>
      <c r="FV106" s="1152"/>
      <c r="FW106" s="1152"/>
      <c r="FX106" s="1152"/>
      <c r="FY106" s="1152"/>
      <c r="FZ106" s="1152"/>
      <c r="GA106" s="1152"/>
      <c r="GB106" s="1152"/>
      <c r="GC106" s="1152"/>
      <c r="GD106" s="1152"/>
      <c r="GE106" s="1152"/>
      <c r="GF106" s="1152"/>
      <c r="GG106" s="1152"/>
      <c r="GH106" s="1152"/>
      <c r="GI106" s="1152"/>
      <c r="GJ106" s="1152"/>
      <c r="GK106" s="1152"/>
      <c r="GL106" s="1152"/>
      <c r="GM106" s="1152"/>
      <c r="GT106" s="1152"/>
      <c r="GU106" s="1152"/>
      <c r="GV106" s="1152"/>
      <c r="GW106" s="1152"/>
      <c r="GX106" s="1152"/>
      <c r="GY106" s="1152"/>
      <c r="GZ106" s="1152"/>
      <c r="HA106" s="1152"/>
      <c r="HB106" s="1152"/>
      <c r="HC106" s="1152"/>
      <c r="HD106" s="1152"/>
      <c r="HE106" s="1152"/>
      <c r="HF106" s="1152"/>
      <c r="HG106" s="1152"/>
      <c r="HH106" s="1152"/>
      <c r="HI106" s="1152"/>
      <c r="HJ106" s="1152"/>
      <c r="HK106" s="1152"/>
      <c r="HL106" s="1152"/>
      <c r="HM106" s="1152"/>
      <c r="HN106" s="1152"/>
    </row>
    <row r="107" spans="1:250" s="197" customFormat="1" ht="14.25">
      <c r="A107" s="1152"/>
      <c r="B107" s="1152"/>
      <c r="C107" s="1152"/>
      <c r="D107" s="1152"/>
      <c r="E107" s="1152"/>
      <c r="F107" s="1152"/>
      <c r="G107" s="1152"/>
      <c r="H107" s="1152"/>
      <c r="I107" s="1152"/>
      <c r="J107" s="1152"/>
      <c r="K107" s="1152"/>
      <c r="L107" s="1152"/>
      <c r="M107" s="1152"/>
      <c r="N107" s="1152"/>
      <c r="O107" s="1152"/>
      <c r="P107" s="1152"/>
      <c r="Q107" s="1152"/>
      <c r="R107" s="1152"/>
      <c r="S107" s="1151"/>
      <c r="T107" s="1151"/>
      <c r="U107" s="1151"/>
      <c r="V107" s="1151"/>
      <c r="W107" s="1151"/>
      <c r="X107" s="1151"/>
      <c r="Y107" s="1151"/>
      <c r="Z107" s="1151"/>
      <c r="AA107" s="1151"/>
      <c r="AB107" s="1151"/>
      <c r="AC107" s="1151"/>
      <c r="AD107" s="1151"/>
      <c r="AE107" s="1151"/>
      <c r="AF107" s="1151"/>
      <c r="AG107" s="1151"/>
      <c r="AH107" s="1151"/>
      <c r="AI107" s="1151"/>
      <c r="AJ107" s="729"/>
      <c r="AK107" s="729"/>
      <c r="AL107" s="729"/>
      <c r="AM107" s="1151"/>
      <c r="AN107" s="1151"/>
      <c r="AO107" s="1151"/>
      <c r="AP107" s="1151"/>
      <c r="AQ107" s="1151"/>
      <c r="AR107" s="1151"/>
      <c r="AS107" s="1151"/>
      <c r="AT107" s="1151"/>
      <c r="AU107" s="1151"/>
      <c r="AV107" s="1151"/>
      <c r="AW107" s="1151"/>
      <c r="AX107" s="1151"/>
      <c r="AY107" s="1151"/>
      <c r="AZ107" s="1152"/>
      <c r="BA107" s="1152"/>
      <c r="BB107" s="1152"/>
      <c r="BC107" s="1152"/>
      <c r="BD107" s="1152"/>
      <c r="BE107" s="1152"/>
      <c r="BF107" s="1152"/>
      <c r="BG107" s="1152"/>
      <c r="BH107" s="1152"/>
      <c r="BI107" s="1152"/>
      <c r="BJ107" s="1152"/>
      <c r="BK107" s="1152"/>
      <c r="BL107" s="1152"/>
      <c r="BM107" s="1152"/>
      <c r="BN107" s="1152"/>
      <c r="BO107" s="1152"/>
      <c r="BP107" s="1152"/>
      <c r="BQ107" s="1152"/>
      <c r="BR107" s="1152"/>
      <c r="BS107" s="1152"/>
      <c r="BT107" s="1152"/>
      <c r="BU107" s="1152"/>
      <c r="BV107" s="1152"/>
      <c r="BW107" s="1152"/>
      <c r="BX107" s="1152"/>
      <c r="BY107" s="1152"/>
      <c r="BZ107" s="1152"/>
      <c r="CA107" s="1152"/>
      <c r="CB107" s="1152"/>
      <c r="CC107" s="1152"/>
      <c r="CD107" s="1152"/>
      <c r="CE107" s="1152"/>
      <c r="CF107" s="1152"/>
      <c r="CG107" s="1152"/>
      <c r="CH107" s="1152"/>
      <c r="CI107" s="1152"/>
      <c r="CJ107" s="1152"/>
      <c r="CK107" s="1152"/>
      <c r="CL107" s="1152"/>
      <c r="CM107" s="1152"/>
      <c r="CN107" s="1152"/>
      <c r="CO107" s="1152"/>
      <c r="CP107" s="1152"/>
      <c r="CQ107" s="1152"/>
      <c r="CR107" s="1152"/>
      <c r="CS107" s="1152"/>
      <c r="CT107" s="1152"/>
      <c r="CU107" s="1152"/>
      <c r="CV107" s="1152"/>
      <c r="CW107" s="1152"/>
      <c r="CX107" s="1152"/>
      <c r="CY107" s="1152"/>
      <c r="CZ107" s="1152"/>
      <c r="DA107" s="1152"/>
      <c r="DB107" s="1152"/>
      <c r="DC107" s="1152"/>
      <c r="DD107" s="1152"/>
      <c r="DE107" s="1152"/>
      <c r="DF107" s="1152"/>
      <c r="DG107" s="1152"/>
      <c r="DH107" s="1152"/>
      <c r="DI107" s="1152"/>
      <c r="DJ107" s="1152"/>
      <c r="DK107" s="1152"/>
      <c r="DL107" s="1152"/>
      <c r="DM107" s="1152"/>
      <c r="DN107" s="1152"/>
      <c r="DO107" s="1152"/>
      <c r="DP107" s="1152"/>
      <c r="DQ107" s="1152"/>
      <c r="DR107" s="1152"/>
      <c r="DS107" s="1152"/>
      <c r="DT107" s="1152"/>
      <c r="DU107" s="1152"/>
      <c r="DV107" s="1152"/>
      <c r="DW107" s="1152"/>
      <c r="DX107" s="1152"/>
      <c r="DY107" s="1152"/>
      <c r="DZ107" s="1152"/>
      <c r="EA107" s="1152"/>
      <c r="EB107" s="1152"/>
      <c r="EC107" s="1152"/>
      <c r="ED107" s="1152"/>
      <c r="EE107" s="1152"/>
      <c r="EF107" s="1152"/>
      <c r="EG107" s="1152"/>
      <c r="EH107" s="1152"/>
      <c r="EI107" s="1152"/>
      <c r="EJ107" s="1152"/>
      <c r="EK107" s="1152"/>
      <c r="EL107" s="1152"/>
      <c r="EM107" s="1152"/>
      <c r="EN107" s="1152"/>
      <c r="EO107" s="1152"/>
      <c r="EP107" s="1152"/>
      <c r="EQ107" s="1152"/>
      <c r="ER107" s="1152"/>
      <c r="ES107" s="1152"/>
      <c r="ET107" s="1152"/>
      <c r="EU107" s="1152"/>
      <c r="EV107" s="1152"/>
      <c r="EW107" s="1152"/>
      <c r="EX107" s="1152"/>
      <c r="EY107" s="1152"/>
      <c r="EZ107" s="1152"/>
      <c r="FA107" s="1152"/>
      <c r="FB107" s="1152"/>
      <c r="FC107" s="1152"/>
      <c r="FD107" s="1152"/>
      <c r="FE107" s="1152"/>
      <c r="FF107" s="1152"/>
      <c r="FG107" s="1152"/>
      <c r="FH107" s="1152"/>
      <c r="FI107" s="1152"/>
      <c r="FJ107" s="1152"/>
      <c r="FK107" s="1152"/>
      <c r="FL107" s="1152"/>
      <c r="FM107" s="1152"/>
      <c r="FN107" s="1152"/>
      <c r="FO107" s="1152"/>
      <c r="FP107" s="1152"/>
      <c r="FQ107" s="1152"/>
      <c r="FR107" s="1152"/>
      <c r="FS107" s="1152"/>
      <c r="FT107" s="1152"/>
      <c r="FU107" s="1152"/>
      <c r="FV107" s="1152"/>
      <c r="FW107" s="1152"/>
      <c r="FX107" s="1152"/>
      <c r="FY107" s="1152"/>
      <c r="FZ107" s="1152"/>
      <c r="GA107" s="1152"/>
      <c r="GB107" s="1152"/>
      <c r="GC107" s="1152"/>
      <c r="GD107" s="1152"/>
      <c r="GE107" s="1152"/>
      <c r="GF107" s="1152"/>
      <c r="GG107" s="1152"/>
      <c r="GH107" s="1152"/>
      <c r="GI107" s="1152"/>
      <c r="GJ107" s="1152"/>
      <c r="GK107" s="1152"/>
      <c r="GL107" s="1152"/>
      <c r="GM107" s="1152"/>
      <c r="GN107" s="1152"/>
      <c r="GO107" s="1152"/>
      <c r="GP107" s="1152"/>
      <c r="GQ107" s="1152"/>
      <c r="GR107" s="1152"/>
      <c r="GS107" s="1152"/>
      <c r="GT107" s="1152"/>
      <c r="GU107" s="1152"/>
      <c r="GV107" s="1152"/>
      <c r="GW107" s="1152"/>
      <c r="GX107" s="1152"/>
      <c r="GY107" s="1152"/>
      <c r="GZ107" s="1152"/>
      <c r="HA107" s="1152"/>
      <c r="HB107" s="1152"/>
      <c r="HC107" s="1152"/>
      <c r="HD107" s="1152"/>
      <c r="HE107" s="1152"/>
      <c r="HF107" s="1152"/>
      <c r="HG107" s="1152"/>
      <c r="HH107" s="1152"/>
      <c r="HI107" s="1152"/>
      <c r="HJ107" s="1152"/>
      <c r="HK107" s="1152"/>
      <c r="HL107" s="1152"/>
      <c r="HM107" s="1152"/>
      <c r="HN107" s="1152"/>
      <c r="HO107" s="1152"/>
      <c r="HP107" s="1151"/>
      <c r="HQ107" s="1151"/>
      <c r="HR107" s="1151"/>
      <c r="HS107" s="1151"/>
      <c r="HT107" s="1151"/>
      <c r="HU107" s="1151"/>
      <c r="HV107" s="1152"/>
      <c r="HW107" s="1152"/>
      <c r="HX107" s="1152"/>
      <c r="HY107" s="1152"/>
      <c r="HZ107" s="1152"/>
      <c r="IA107" s="1152"/>
      <c r="IB107" s="1152"/>
      <c r="IC107" s="1152"/>
      <c r="ID107" s="1152"/>
      <c r="IE107" s="1152"/>
      <c r="IF107" s="1152"/>
      <c r="IG107" s="1152"/>
      <c r="IH107" s="1152"/>
      <c r="II107" s="1152"/>
      <c r="IJ107" s="1152"/>
      <c r="IK107" s="1152"/>
      <c r="IL107" s="1152"/>
      <c r="IM107" s="1152"/>
      <c r="IN107" s="1152"/>
      <c r="IO107" s="1152"/>
      <c r="IP107" s="1152"/>
    </row>
    <row r="108" spans="14:94" s="728" customFormat="1" ht="14.25">
      <c r="N108" s="730"/>
      <c r="AH108" s="729"/>
      <c r="CM108" s="729"/>
      <c r="CN108" s="729"/>
      <c r="CO108" s="729"/>
      <c r="CP108" s="729"/>
    </row>
    <row r="109" spans="14:160" s="728" customFormat="1" ht="15.75">
      <c r="N109" s="730"/>
      <c r="AH109" s="729"/>
      <c r="AJ109"/>
      <c r="AK109"/>
      <c r="AL109"/>
      <c r="BU109" s="612"/>
      <c r="CM109" s="729"/>
      <c r="CN109" s="729"/>
      <c r="CO109" s="729"/>
      <c r="CP109" s="729"/>
      <c r="CQ109" s="729"/>
      <c r="DZ109" s="729"/>
      <c r="EA109" s="729"/>
      <c r="EB109" s="729"/>
      <c r="EC109" s="731"/>
      <c r="EW109" s="729"/>
      <c r="EZ109" s="729"/>
      <c r="FA109" s="729"/>
      <c r="FB109" s="729"/>
      <c r="FC109" s="729"/>
      <c r="FD109" s="729"/>
    </row>
    <row r="110" spans="70:139" ht="15">
      <c r="BR110" s="492"/>
      <c r="BU110" s="492"/>
      <c r="CB110" s="1"/>
      <c r="CC110" s="1"/>
      <c r="CD110" s="1"/>
      <c r="CM110" s="672"/>
      <c r="CN110" s="672"/>
      <c r="CO110" s="672"/>
      <c r="CP110" s="672"/>
      <c r="EA110" s="672"/>
      <c r="EI110" s="672"/>
    </row>
    <row r="111" spans="14:139" ht="15">
      <c r="N111" s="727"/>
      <c r="BR111" s="492"/>
      <c r="BU111" s="492"/>
      <c r="CB111" s="1"/>
      <c r="CC111" s="1"/>
      <c r="CD111" s="1"/>
      <c r="CM111" s="672"/>
      <c r="CN111" s="672"/>
      <c r="CO111" s="672"/>
      <c r="CP111" s="672"/>
      <c r="EA111" s="672"/>
      <c r="EI111" s="672"/>
    </row>
    <row r="112" spans="70:210" ht="15">
      <c r="BR112" s="492"/>
      <c r="BU112" s="492"/>
      <c r="CB112" s="1"/>
      <c r="CC112" s="492"/>
      <c r="CD112" s="1"/>
      <c r="CH112" s="1"/>
      <c r="CI112" s="1"/>
      <c r="CJ112" s="1"/>
      <c r="CK112" s="1"/>
      <c r="CL112" s="1"/>
      <c r="CM112" s="921"/>
      <c r="CN112" s="921"/>
      <c r="CO112" s="921"/>
      <c r="CP112" s="92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921"/>
      <c r="EB112" s="1"/>
      <c r="EC112" s="1"/>
      <c r="ED112" s="1"/>
      <c r="EE112" s="1"/>
      <c r="EF112" s="1"/>
      <c r="EG112" s="1"/>
      <c r="EH112" s="1"/>
      <c r="EI112" s="92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row>
    <row r="113" spans="86:210" ht="15">
      <c r="CH113" s="1"/>
      <c r="CI113" s="1"/>
      <c r="CJ113" s="1"/>
      <c r="CK113" s="1"/>
      <c r="CL113" s="1"/>
      <c r="CM113" s="1"/>
      <c r="CN113" s="1"/>
      <c r="CO113" s="1"/>
      <c r="CP113" s="1"/>
      <c r="CQ113" s="481"/>
      <c r="CR113" s="481"/>
      <c r="CS113" s="481"/>
      <c r="CT113" s="481"/>
      <c r="CU113" s="481"/>
      <c r="CV113" s="481"/>
      <c r="CW113" s="481"/>
      <c r="CX113" s="481"/>
      <c r="CY113" s="481"/>
      <c r="CZ113" s="481"/>
      <c r="DA113" s="481"/>
      <c r="DB113" s="481"/>
      <c r="DC113" s="481"/>
      <c r="DD113" s="481"/>
      <c r="DE113" s="481"/>
      <c r="DF113" s="481"/>
      <c r="DG113" s="481"/>
      <c r="DH113" s="481"/>
      <c r="DI113" s="481"/>
      <c r="DJ113" s="481"/>
      <c r="DK113" s="481"/>
      <c r="DL113" s="481"/>
      <c r="DM113" s="481"/>
      <c r="DN113" s="481"/>
      <c r="DO113" s="481"/>
      <c r="DP113" s="543"/>
      <c r="DQ113" s="481"/>
      <c r="DR113" s="481"/>
      <c r="DS113" s="481"/>
      <c r="DT113" s="481"/>
      <c r="DU113" s="481"/>
      <c r="DV113" s="481"/>
      <c r="DW113" s="481"/>
      <c r="DX113" s="481"/>
      <c r="DY113" s="481"/>
      <c r="DZ113" s="481"/>
      <c r="EA113" s="481"/>
      <c r="EB113" s="481"/>
      <c r="EC113" s="481"/>
      <c r="ED113" s="481"/>
      <c r="EE113" s="481"/>
      <c r="EF113" s="481"/>
      <c r="EG113" s="543"/>
      <c r="EH113" s="481"/>
      <c r="EI113" s="481"/>
      <c r="EJ113" s="481"/>
      <c r="EK113" s="912"/>
      <c r="EL113" s="543"/>
      <c r="EM113" s="543"/>
      <c r="EN113" s="481"/>
      <c r="EO113" s="481"/>
      <c r="EP113" s="481"/>
      <c r="EQ113" s="481"/>
      <c r="ER113" s="481"/>
      <c r="ES113" s="481"/>
      <c r="ET113" s="481"/>
      <c r="EU113" s="481"/>
      <c r="EV113" s="481"/>
      <c r="EW113" s="481"/>
      <c r="EX113" s="481"/>
      <c r="EY113" s="481"/>
      <c r="EZ113" s="543"/>
      <c r="FA113" s="481"/>
      <c r="FB113" s="481"/>
      <c r="FC113" s="481"/>
      <c r="FD113" s="481"/>
      <c r="FE113" s="481"/>
      <c r="FF113" s="481"/>
      <c r="FG113" s="481"/>
      <c r="FH113" s="481"/>
      <c r="FI113" s="481"/>
      <c r="FJ113" s="481"/>
      <c r="FK113" s="481"/>
      <c r="FL113" s="481"/>
      <c r="FM113" s="922"/>
      <c r="FN113" s="700"/>
      <c r="FO113" s="700"/>
      <c r="FP113" s="700"/>
      <c r="FQ113" s="700"/>
      <c r="FR113" s="700"/>
      <c r="FS113" s="699"/>
      <c r="FT113" s="699"/>
      <c r="FU113" s="699"/>
      <c r="FV113" s="699"/>
      <c r="FW113" s="699"/>
      <c r="FX113" s="699"/>
      <c r="FY113" s="699"/>
      <c r="FZ113" s="699"/>
      <c r="GA113" s="699"/>
      <c r="GB113" s="700"/>
      <c r="GC113" s="699"/>
      <c r="GD113" s="699"/>
      <c r="GE113" s="699"/>
      <c r="GF113" s="699"/>
      <c r="GG113" s="699"/>
      <c r="GH113" s="699"/>
      <c r="GI113" s="699"/>
      <c r="GJ113" s="699"/>
      <c r="GK113" s="699"/>
      <c r="GL113" s="699"/>
      <c r="GM113" s="699"/>
      <c r="GN113" s="481"/>
      <c r="GO113" s="481"/>
      <c r="GP113" s="481"/>
      <c r="GQ113" s="1"/>
      <c r="GR113" s="1"/>
      <c r="GS113" s="1"/>
      <c r="GT113" s="1"/>
      <c r="GU113" s="1"/>
      <c r="GV113" s="1"/>
      <c r="GW113" s="1"/>
      <c r="GX113" s="1"/>
      <c r="GY113" s="1"/>
      <c r="GZ113" s="1"/>
      <c r="HA113" s="1"/>
      <c r="HB113" s="1"/>
    </row>
    <row r="114" spans="14:210" ht="15">
      <c r="N114" s="727"/>
      <c r="BU114" s="492"/>
      <c r="CB114" s="1"/>
      <c r="CC114" s="492"/>
      <c r="CD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921"/>
      <c r="EB114" s="1"/>
      <c r="EC114" s="1"/>
      <c r="ED114" s="1"/>
      <c r="EE114" s="1"/>
      <c r="EF114" s="1"/>
      <c r="EG114" s="1"/>
      <c r="EH114" s="1"/>
      <c r="EI114" s="92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row>
    <row r="115" spans="14:139" ht="15">
      <c r="N115" s="727"/>
      <c r="CB115" s="1"/>
      <c r="CC115" s="492"/>
      <c r="CD115" s="1"/>
      <c r="EA115" s="672"/>
      <c r="EI115" s="672"/>
    </row>
    <row r="116" spans="14:139" ht="15">
      <c r="N116" s="727"/>
      <c r="CB116" s="1"/>
      <c r="CC116" s="492"/>
      <c r="CD116" s="1"/>
      <c r="EA116" s="672"/>
      <c r="EI116" s="672"/>
    </row>
    <row r="117" spans="80:139" ht="15">
      <c r="CB117" s="1"/>
      <c r="CC117" s="492"/>
      <c r="CD117" s="1"/>
      <c r="EA117" s="672"/>
      <c r="EI117" s="672"/>
    </row>
    <row r="118" spans="80:139" ht="15">
      <c r="CB118" s="1"/>
      <c r="CC118" s="492"/>
      <c r="CD118" s="1"/>
      <c r="EA118" s="672"/>
      <c r="EI118" s="672"/>
    </row>
    <row r="119" spans="80:139" ht="15">
      <c r="CB119" s="1"/>
      <c r="CC119" s="492"/>
      <c r="CD119" s="1"/>
      <c r="EA119" s="672"/>
      <c r="EI119" s="672"/>
    </row>
    <row r="120" spans="80:139" ht="15">
      <c r="CB120" s="1"/>
      <c r="CC120" s="492"/>
      <c r="CD120" s="1"/>
      <c r="EA120" s="672"/>
      <c r="EI120" s="672"/>
    </row>
    <row r="121" spans="80:139" ht="15">
      <c r="CB121" s="1"/>
      <c r="CC121" s="1"/>
      <c r="CD121" s="1"/>
      <c r="DY121" s="672"/>
      <c r="EI121" s="672"/>
    </row>
    <row r="122" spans="80:82" ht="15">
      <c r="CB122" s="1"/>
      <c r="CC122" s="1"/>
      <c r="CD122" s="1"/>
    </row>
    <row r="123" spans="80:82" ht="15">
      <c r="CB123" s="1"/>
      <c r="CC123" s="1"/>
      <c r="CD123" s="1"/>
    </row>
    <row r="129" spans="84:104" ht="15">
      <c r="CF129" s="672"/>
      <c r="CG129" s="672"/>
      <c r="CH129" s="672"/>
      <c r="CI129" s="672"/>
      <c r="CJ129" s="672"/>
      <c r="CK129" s="672"/>
      <c r="CL129" s="672"/>
      <c r="CM129" s="672"/>
      <c r="CN129" s="672"/>
      <c r="CO129" s="672"/>
      <c r="CP129" s="672"/>
      <c r="CQ129" s="672"/>
      <c r="CR129" s="672"/>
      <c r="CS129" s="672"/>
      <c r="CT129" s="672"/>
      <c r="CU129" s="672"/>
      <c r="CV129" s="672"/>
      <c r="CW129" s="672"/>
      <c r="CX129" s="672"/>
      <c r="CY129" s="672"/>
      <c r="CZ129" s="672"/>
    </row>
    <row r="130" spans="84:104" ht="15">
      <c r="CF130" s="672"/>
      <c r="CG130" s="672"/>
      <c r="CH130" s="672"/>
      <c r="CI130" s="672"/>
      <c r="CJ130" s="672"/>
      <c r="CK130" s="672"/>
      <c r="CL130" s="672"/>
      <c r="CM130" s="672"/>
      <c r="CN130" s="672"/>
      <c r="CO130" s="672"/>
      <c r="CP130" s="672"/>
      <c r="CQ130" s="672"/>
      <c r="CR130" s="672"/>
      <c r="CS130" s="672"/>
      <c r="CT130" s="672"/>
      <c r="CU130" s="672"/>
      <c r="CV130" s="672"/>
      <c r="CW130" s="672"/>
      <c r="CX130" s="672"/>
      <c r="CY130" s="672"/>
      <c r="CZ130" s="672"/>
    </row>
    <row r="131" spans="84:104" ht="15">
      <c r="CF131" s="672"/>
      <c r="CG131" s="672"/>
      <c r="CH131" s="672"/>
      <c r="CI131" s="672"/>
      <c r="CJ131" s="672"/>
      <c r="CK131" s="672"/>
      <c r="CL131" s="672"/>
      <c r="CM131" s="672"/>
      <c r="CN131" s="672"/>
      <c r="CO131" s="672"/>
      <c r="CP131" s="672"/>
      <c r="CQ131" s="672"/>
      <c r="CR131" s="672"/>
      <c r="CS131" s="672"/>
      <c r="CT131" s="672"/>
      <c r="CU131" s="672"/>
      <c r="CV131" s="672"/>
      <c r="CW131" s="672"/>
      <c r="CX131" s="672"/>
      <c r="CY131" s="672"/>
      <c r="CZ131" s="672"/>
    </row>
    <row r="132" spans="84:104" ht="15">
      <c r="CF132" s="672"/>
      <c r="CG132" s="672"/>
      <c r="CH132" s="672"/>
      <c r="CI132" s="672"/>
      <c r="CJ132" s="672"/>
      <c r="CK132" s="672"/>
      <c r="CL132" s="672"/>
      <c r="CM132" s="672"/>
      <c r="CN132" s="672"/>
      <c r="CO132" s="672"/>
      <c r="CP132" s="672"/>
      <c r="CQ132" s="672"/>
      <c r="CR132" s="672"/>
      <c r="CS132" s="672"/>
      <c r="CT132" s="672"/>
      <c r="CU132" s="672"/>
      <c r="CV132" s="672"/>
      <c r="CW132" s="672"/>
      <c r="CX132" s="672"/>
      <c r="CY132" s="672"/>
      <c r="CZ132" s="672"/>
    </row>
    <row r="133" spans="84:104" ht="15">
      <c r="CF133" s="672"/>
      <c r="CG133" s="672"/>
      <c r="CH133" s="672"/>
      <c r="CI133" s="672"/>
      <c r="CJ133" s="672"/>
      <c r="CK133" s="672"/>
      <c r="CL133" s="672"/>
      <c r="CM133" s="672"/>
      <c r="CN133" s="672"/>
      <c r="CO133" s="672"/>
      <c r="CP133" s="672"/>
      <c r="CQ133" s="672"/>
      <c r="CR133" s="672"/>
      <c r="CS133" s="672"/>
      <c r="CT133" s="672"/>
      <c r="CU133" s="672"/>
      <c r="CV133" s="672"/>
      <c r="CW133" s="672"/>
      <c r="CX133" s="672"/>
      <c r="CY133" s="672"/>
      <c r="CZ133" s="672"/>
    </row>
    <row r="134" spans="84:104" ht="15">
      <c r="CF134" s="672"/>
      <c r="CG134" s="672"/>
      <c r="CH134" s="672"/>
      <c r="CI134" s="672"/>
      <c r="CJ134" s="672"/>
      <c r="CK134" s="672"/>
      <c r="CL134" s="672"/>
      <c r="CM134" s="672"/>
      <c r="CN134" s="672"/>
      <c r="CO134" s="672"/>
      <c r="CP134" s="672"/>
      <c r="CQ134" s="672"/>
      <c r="CR134" s="672"/>
      <c r="CS134" s="672"/>
      <c r="CT134" s="672"/>
      <c r="CU134" s="672"/>
      <c r="CV134" s="672"/>
      <c r="CW134" s="672"/>
      <c r="CX134" s="672"/>
      <c r="CY134" s="672"/>
      <c r="CZ134" s="672"/>
    </row>
    <row r="135" spans="84:104" ht="15">
      <c r="CF135" s="672"/>
      <c r="CG135" s="672"/>
      <c r="CH135" s="672"/>
      <c r="CI135" s="672"/>
      <c r="CJ135" s="672"/>
      <c r="CK135" s="672"/>
      <c r="CL135" s="672"/>
      <c r="CM135" s="672"/>
      <c r="CN135" s="672"/>
      <c r="CO135" s="672"/>
      <c r="CP135" s="672"/>
      <c r="CQ135" s="672"/>
      <c r="CR135" s="672"/>
      <c r="CS135" s="672"/>
      <c r="CT135" s="672"/>
      <c r="CU135" s="672"/>
      <c r="CV135" s="672"/>
      <c r="CW135" s="672"/>
      <c r="CX135" s="672"/>
      <c r="CY135" s="672"/>
      <c r="CZ135" s="672"/>
    </row>
    <row r="136" spans="84:104" ht="15">
      <c r="CF136" s="672"/>
      <c r="CG136" s="672"/>
      <c r="CH136" s="672"/>
      <c r="CI136" s="672"/>
      <c r="CJ136" s="672"/>
      <c r="CK136" s="672"/>
      <c r="CL136" s="672"/>
      <c r="CM136" s="672"/>
      <c r="CN136" s="672"/>
      <c r="CO136" s="672"/>
      <c r="CP136" s="672"/>
      <c r="CQ136" s="672"/>
      <c r="CR136" s="672"/>
      <c r="CS136" s="672"/>
      <c r="CT136" s="672"/>
      <c r="CU136" s="672"/>
      <c r="CV136" s="672"/>
      <c r="CW136" s="672"/>
      <c r="CX136" s="672"/>
      <c r="CY136" s="672"/>
      <c r="CZ136" s="672"/>
    </row>
    <row r="137" spans="84:104" ht="15">
      <c r="CF137" s="672"/>
      <c r="CG137" s="672"/>
      <c r="CH137" s="672"/>
      <c r="CI137" s="672"/>
      <c r="CJ137" s="672"/>
      <c r="CK137" s="672"/>
      <c r="CL137" s="672"/>
      <c r="CM137" s="672"/>
      <c r="CN137" s="672"/>
      <c r="CO137" s="672"/>
      <c r="CP137" s="672"/>
      <c r="CQ137" s="672"/>
      <c r="CR137" s="672"/>
      <c r="CS137" s="672"/>
      <c r="CT137" s="672"/>
      <c r="CU137" s="672"/>
      <c r="CV137" s="672"/>
      <c r="CW137" s="672"/>
      <c r="CX137" s="672"/>
      <c r="CY137" s="672"/>
      <c r="CZ137" s="672"/>
    </row>
    <row r="138" spans="84:104" ht="15">
      <c r="CF138" s="672"/>
      <c r="CG138" s="672"/>
      <c r="CH138" s="672"/>
      <c r="CI138" s="672"/>
      <c r="CJ138" s="672"/>
      <c r="CK138" s="672"/>
      <c r="CL138" s="672"/>
      <c r="CM138" s="672"/>
      <c r="CN138" s="672"/>
      <c r="CO138" s="672"/>
      <c r="CP138" s="672"/>
      <c r="CQ138" s="672"/>
      <c r="CR138" s="672"/>
      <c r="CS138" s="672"/>
      <c r="CT138" s="672"/>
      <c r="CU138" s="672"/>
      <c r="CV138" s="672"/>
      <c r="CW138" s="672"/>
      <c r="CX138" s="672"/>
      <c r="CY138" s="672"/>
      <c r="CZ138" s="672"/>
    </row>
    <row r="139" spans="84:104" ht="15">
      <c r="CF139" s="672"/>
      <c r="CG139" s="672"/>
      <c r="CH139" s="672"/>
      <c r="CI139" s="672"/>
      <c r="CJ139" s="672"/>
      <c r="CK139" s="672"/>
      <c r="CL139" s="672"/>
      <c r="CM139" s="672"/>
      <c r="CN139" s="672"/>
      <c r="CO139" s="672"/>
      <c r="CP139" s="672"/>
      <c r="CQ139" s="672"/>
      <c r="CR139" s="672"/>
      <c r="CS139" s="672"/>
      <c r="CT139" s="672"/>
      <c r="CU139" s="672"/>
      <c r="CV139" s="672"/>
      <c r="CW139" s="672"/>
      <c r="CX139" s="672"/>
      <c r="CY139" s="672"/>
      <c r="CZ139" s="672"/>
    </row>
    <row r="140" spans="84:104" ht="15">
      <c r="CF140" s="672"/>
      <c r="CG140" s="672"/>
      <c r="CH140" s="672"/>
      <c r="CI140" s="672"/>
      <c r="CJ140" s="672"/>
      <c r="CK140" s="672"/>
      <c r="CL140" s="672"/>
      <c r="CM140" s="672"/>
      <c r="CN140" s="672"/>
      <c r="CO140" s="672"/>
      <c r="CP140" s="672"/>
      <c r="CQ140" s="672"/>
      <c r="CR140" s="672"/>
      <c r="CS140" s="672"/>
      <c r="CT140" s="672"/>
      <c r="CU140" s="672"/>
      <c r="CV140" s="672"/>
      <c r="CW140" s="672"/>
      <c r="CX140" s="672"/>
      <c r="CY140" s="672"/>
      <c r="CZ140" s="672"/>
    </row>
    <row r="141" spans="84:104" ht="15">
      <c r="CF141" s="672"/>
      <c r="CG141" s="672"/>
      <c r="CH141" s="672"/>
      <c r="CI141" s="672"/>
      <c r="CJ141" s="672"/>
      <c r="CK141" s="672"/>
      <c r="CL141" s="672"/>
      <c r="CM141" s="672"/>
      <c r="CN141" s="672"/>
      <c r="CO141" s="672"/>
      <c r="CP141" s="672"/>
      <c r="CQ141" s="672"/>
      <c r="CR141" s="672"/>
      <c r="CS141" s="672"/>
      <c r="CT141" s="672"/>
      <c r="CU141" s="672"/>
      <c r="CV141" s="672"/>
      <c r="CW141" s="672"/>
      <c r="CX141" s="672"/>
      <c r="CY141" s="672"/>
      <c r="CZ141" s="672"/>
    </row>
    <row r="142" spans="84:104" ht="15">
      <c r="CF142" s="672"/>
      <c r="CG142" s="672"/>
      <c r="CH142" s="672"/>
      <c r="CI142" s="672"/>
      <c r="CJ142" s="672"/>
      <c r="CK142" s="672"/>
      <c r="CL142" s="672"/>
      <c r="CM142" s="672"/>
      <c r="CN142" s="672"/>
      <c r="CO142" s="672"/>
      <c r="CP142" s="672"/>
      <c r="CQ142" s="672"/>
      <c r="CR142" s="672"/>
      <c r="CS142" s="672"/>
      <c r="CT142" s="672"/>
      <c r="CU142" s="672"/>
      <c r="CV142" s="672"/>
      <c r="CW142" s="672"/>
      <c r="CX142" s="672"/>
      <c r="CY142" s="672"/>
      <c r="CZ142" s="672"/>
    </row>
    <row r="143" spans="84:104" ht="15">
      <c r="CF143" s="672"/>
      <c r="CG143" s="672"/>
      <c r="CH143" s="672"/>
      <c r="CI143" s="672"/>
      <c r="CJ143" s="672"/>
      <c r="CK143" s="672"/>
      <c r="CL143" s="672"/>
      <c r="CM143" s="672"/>
      <c r="CN143" s="672"/>
      <c r="CO143" s="672"/>
      <c r="CP143" s="672"/>
      <c r="CQ143" s="672"/>
      <c r="CR143" s="672"/>
      <c r="CS143" s="672"/>
      <c r="CT143" s="672"/>
      <c r="CU143" s="672"/>
      <c r="CV143" s="672"/>
      <c r="CW143" s="672"/>
      <c r="CX143" s="672"/>
      <c r="CY143" s="672"/>
      <c r="CZ143" s="672"/>
    </row>
    <row r="144" spans="84:104" ht="15">
      <c r="CF144" s="672"/>
      <c r="CG144" s="672"/>
      <c r="CH144" s="672"/>
      <c r="CI144" s="672"/>
      <c r="CJ144" s="672"/>
      <c r="CK144" s="672"/>
      <c r="CL144" s="672"/>
      <c r="CM144" s="672"/>
      <c r="CN144" s="672"/>
      <c r="CO144" s="672"/>
      <c r="CP144" s="672"/>
      <c r="CQ144" s="672"/>
      <c r="CR144" s="672"/>
      <c r="CS144" s="672"/>
      <c r="CT144" s="672"/>
      <c r="CU144" s="672"/>
      <c r="CV144" s="672"/>
      <c r="CW144" s="672"/>
      <c r="CX144" s="672"/>
      <c r="CY144" s="672"/>
      <c r="CZ144" s="672"/>
    </row>
    <row r="145" spans="84:104" ht="15">
      <c r="CF145" s="672"/>
      <c r="CG145" s="672"/>
      <c r="CH145" s="672"/>
      <c r="CI145" s="672"/>
      <c r="CJ145" s="672"/>
      <c r="CK145" s="672"/>
      <c r="CL145" s="672"/>
      <c r="CM145" s="672"/>
      <c r="CN145" s="672"/>
      <c r="CO145" s="672"/>
      <c r="CP145" s="672"/>
      <c r="CQ145" s="672"/>
      <c r="CR145" s="672"/>
      <c r="CS145" s="672"/>
      <c r="CT145" s="672"/>
      <c r="CU145" s="672"/>
      <c r="CV145" s="672"/>
      <c r="CW145" s="672"/>
      <c r="CX145" s="672"/>
      <c r="CY145" s="672"/>
      <c r="CZ145" s="672"/>
    </row>
    <row r="146" spans="84:104" ht="15">
      <c r="CF146" s="672"/>
      <c r="CG146" s="672"/>
      <c r="CH146" s="672"/>
      <c r="CI146" s="672"/>
      <c r="CJ146" s="672"/>
      <c r="CK146" s="672"/>
      <c r="CL146" s="672"/>
      <c r="CM146" s="672"/>
      <c r="CN146" s="672"/>
      <c r="CO146" s="672"/>
      <c r="CP146" s="672"/>
      <c r="CQ146" s="672"/>
      <c r="CR146" s="672"/>
      <c r="CS146" s="672"/>
      <c r="CT146" s="672"/>
      <c r="CU146" s="672"/>
      <c r="CV146" s="672"/>
      <c r="CW146" s="672"/>
      <c r="CX146" s="672"/>
      <c r="CY146" s="672"/>
      <c r="CZ146" s="672"/>
    </row>
    <row r="147" spans="84:104" ht="15">
      <c r="CF147" s="672"/>
      <c r="CG147" s="672"/>
      <c r="CH147" s="672"/>
      <c r="CI147" s="672"/>
      <c r="CJ147" s="672"/>
      <c r="CK147" s="672"/>
      <c r="CL147" s="672"/>
      <c r="CM147" s="672"/>
      <c r="CN147" s="672"/>
      <c r="CO147" s="672"/>
      <c r="CP147" s="672"/>
      <c r="CQ147" s="672"/>
      <c r="CR147" s="672"/>
      <c r="CS147" s="672"/>
      <c r="CT147" s="672"/>
      <c r="CU147" s="672"/>
      <c r="CV147" s="672"/>
      <c r="CW147" s="672"/>
      <c r="CX147" s="672"/>
      <c r="CY147" s="672"/>
      <c r="CZ147" s="672"/>
    </row>
    <row r="148" spans="84:104" ht="15">
      <c r="CF148" s="672"/>
      <c r="CG148" s="672"/>
      <c r="CH148" s="672"/>
      <c r="CI148" s="672"/>
      <c r="CJ148" s="672"/>
      <c r="CK148" s="672"/>
      <c r="CL148" s="672"/>
      <c r="CM148" s="672"/>
      <c r="CN148" s="672"/>
      <c r="CO148" s="672"/>
      <c r="CP148" s="672"/>
      <c r="CQ148" s="672"/>
      <c r="CR148" s="672"/>
      <c r="CS148" s="672"/>
      <c r="CT148" s="672"/>
      <c r="CU148" s="672"/>
      <c r="CV148" s="672"/>
      <c r="CW148" s="672"/>
      <c r="CX148" s="672"/>
      <c r="CY148" s="672"/>
      <c r="CZ148" s="672"/>
    </row>
    <row r="149" spans="84:104" ht="15">
      <c r="CF149" s="672"/>
      <c r="CG149" s="672"/>
      <c r="CH149" s="672"/>
      <c r="CI149" s="672"/>
      <c r="CJ149" s="672"/>
      <c r="CK149" s="672"/>
      <c r="CL149" s="672"/>
      <c r="CM149" s="672"/>
      <c r="CN149" s="672"/>
      <c r="CO149" s="672"/>
      <c r="CP149" s="672"/>
      <c r="CQ149" s="672"/>
      <c r="CR149" s="672"/>
      <c r="CS149" s="672"/>
      <c r="CT149" s="672"/>
      <c r="CU149" s="672"/>
      <c r="CV149" s="672"/>
      <c r="CW149" s="672"/>
      <c r="CX149" s="672"/>
      <c r="CY149" s="672"/>
      <c r="CZ149" s="672"/>
    </row>
    <row r="150" spans="84:104" ht="15">
      <c r="CF150" s="672"/>
      <c r="CG150" s="672"/>
      <c r="CH150" s="672"/>
      <c r="CI150" s="672"/>
      <c r="CJ150" s="672"/>
      <c r="CK150" s="672"/>
      <c r="CL150" s="672"/>
      <c r="CM150" s="672"/>
      <c r="CN150" s="672"/>
      <c r="CO150" s="672"/>
      <c r="CP150" s="672"/>
      <c r="CQ150" s="672"/>
      <c r="CR150" s="672"/>
      <c r="CS150" s="672"/>
      <c r="CT150" s="672"/>
      <c r="CU150" s="672"/>
      <c r="CV150" s="672"/>
      <c r="CW150" s="672"/>
      <c r="CX150" s="672"/>
      <c r="CY150" s="672"/>
      <c r="CZ150" s="672"/>
    </row>
    <row r="151" spans="84:104" ht="15">
      <c r="CF151" s="672"/>
      <c r="CG151" s="672"/>
      <c r="CH151" s="672"/>
      <c r="CI151" s="672"/>
      <c r="CJ151" s="672"/>
      <c r="CK151" s="672"/>
      <c r="CL151" s="672"/>
      <c r="CM151" s="672"/>
      <c r="CN151" s="672"/>
      <c r="CO151" s="672"/>
      <c r="CP151" s="672"/>
      <c r="CQ151" s="672"/>
      <c r="CR151" s="672"/>
      <c r="CS151" s="672"/>
      <c r="CT151" s="672"/>
      <c r="CU151" s="672"/>
      <c r="CV151" s="672"/>
      <c r="CW151" s="672"/>
      <c r="CX151" s="672"/>
      <c r="CY151" s="672"/>
      <c r="CZ151" s="672"/>
    </row>
    <row r="152" spans="84:104" ht="15">
      <c r="CF152" s="672"/>
      <c r="CG152" s="672"/>
      <c r="CH152" s="672"/>
      <c r="CI152" s="672"/>
      <c r="CJ152" s="672"/>
      <c r="CK152" s="672"/>
      <c r="CL152" s="672"/>
      <c r="CM152" s="672"/>
      <c r="CN152" s="672"/>
      <c r="CO152" s="672"/>
      <c r="CP152" s="672"/>
      <c r="CQ152" s="672"/>
      <c r="CR152" s="672"/>
      <c r="CS152" s="672"/>
      <c r="CT152" s="672"/>
      <c r="CU152" s="672"/>
      <c r="CV152" s="672"/>
      <c r="CW152" s="672"/>
      <c r="CX152" s="672"/>
      <c r="CY152" s="672"/>
      <c r="CZ152" s="672"/>
    </row>
    <row r="153" spans="84:104" ht="15">
      <c r="CF153" s="672"/>
      <c r="CG153" s="672"/>
      <c r="CH153" s="672"/>
      <c r="CI153" s="672"/>
      <c r="CJ153" s="672"/>
      <c r="CK153" s="672"/>
      <c r="CL153" s="672"/>
      <c r="CM153" s="672"/>
      <c r="CN153" s="672"/>
      <c r="CO153" s="672"/>
      <c r="CP153" s="672"/>
      <c r="CQ153" s="672"/>
      <c r="CR153" s="672"/>
      <c r="CS153" s="672"/>
      <c r="CT153" s="672"/>
      <c r="CU153" s="672"/>
      <c r="CV153" s="672"/>
      <c r="CW153" s="672"/>
      <c r="CX153" s="672"/>
      <c r="CY153" s="672"/>
      <c r="CZ153" s="672"/>
    </row>
    <row r="154" spans="84:104" ht="15">
      <c r="CF154" s="672"/>
      <c r="CG154" s="672"/>
      <c r="CH154" s="672"/>
      <c r="CI154" s="672"/>
      <c r="CJ154" s="672"/>
      <c r="CK154" s="672"/>
      <c r="CL154" s="672"/>
      <c r="CM154" s="672"/>
      <c r="CN154" s="672"/>
      <c r="CO154" s="672"/>
      <c r="CP154" s="672"/>
      <c r="CQ154" s="672"/>
      <c r="CR154" s="672"/>
      <c r="CS154" s="672"/>
      <c r="CT154" s="672"/>
      <c r="CU154" s="672"/>
      <c r="CV154" s="672"/>
      <c r="CW154" s="672"/>
      <c r="CX154" s="672"/>
      <c r="CY154" s="672"/>
      <c r="CZ154" s="672"/>
    </row>
    <row r="155" spans="84:104" ht="15">
      <c r="CF155" s="672"/>
      <c r="CG155" s="672"/>
      <c r="CH155" s="672"/>
      <c r="CI155" s="672"/>
      <c r="CJ155" s="672"/>
      <c r="CK155" s="672"/>
      <c r="CL155" s="672"/>
      <c r="CM155" s="672"/>
      <c r="CN155" s="672"/>
      <c r="CO155" s="672"/>
      <c r="CP155" s="672"/>
      <c r="CQ155" s="672"/>
      <c r="CR155" s="672"/>
      <c r="CS155" s="672"/>
      <c r="CT155" s="672"/>
      <c r="CU155" s="672"/>
      <c r="CV155" s="672"/>
      <c r="CW155" s="672"/>
      <c r="CX155" s="672"/>
      <c r="CY155" s="672"/>
      <c r="CZ155" s="672"/>
    </row>
    <row r="156" spans="84:104" ht="15">
      <c r="CF156" s="672"/>
      <c r="CG156" s="672"/>
      <c r="CH156" s="672"/>
      <c r="CI156" s="672"/>
      <c r="CJ156" s="672"/>
      <c r="CK156" s="672"/>
      <c r="CL156" s="672"/>
      <c r="CM156" s="672"/>
      <c r="CN156" s="672"/>
      <c r="CO156" s="672"/>
      <c r="CP156" s="672"/>
      <c r="CQ156" s="672"/>
      <c r="CR156" s="672"/>
      <c r="CS156" s="672"/>
      <c r="CT156" s="672"/>
      <c r="CU156" s="672"/>
      <c r="CV156" s="672"/>
      <c r="CW156" s="672"/>
      <c r="CX156" s="672"/>
      <c r="CY156" s="672"/>
      <c r="CZ156" s="672"/>
    </row>
    <row r="157" spans="84:104" ht="15">
      <c r="CF157" s="672"/>
      <c r="CG157" s="672"/>
      <c r="CH157" s="672"/>
      <c r="CI157" s="672"/>
      <c r="CJ157" s="672"/>
      <c r="CK157" s="672"/>
      <c r="CL157" s="672"/>
      <c r="CM157" s="672"/>
      <c r="CN157" s="672"/>
      <c r="CO157" s="672"/>
      <c r="CP157" s="672"/>
      <c r="CQ157" s="672"/>
      <c r="CR157" s="672"/>
      <c r="CS157" s="672"/>
      <c r="CT157" s="672"/>
      <c r="CU157" s="672"/>
      <c r="CV157" s="672"/>
      <c r="CW157" s="672"/>
      <c r="CX157" s="672"/>
      <c r="CY157" s="672"/>
      <c r="CZ157" s="672"/>
    </row>
    <row r="158" spans="84:104" ht="15">
      <c r="CF158" s="672"/>
      <c r="CG158" s="672"/>
      <c r="CH158" s="672"/>
      <c r="CI158" s="672"/>
      <c r="CJ158" s="672"/>
      <c r="CK158" s="672"/>
      <c r="CL158" s="672"/>
      <c r="CM158" s="672"/>
      <c r="CN158" s="672"/>
      <c r="CO158" s="672"/>
      <c r="CP158" s="672"/>
      <c r="CQ158" s="672"/>
      <c r="CR158" s="672"/>
      <c r="CS158" s="672"/>
      <c r="CT158" s="672"/>
      <c r="CU158" s="672"/>
      <c r="CV158" s="672"/>
      <c r="CW158" s="672"/>
      <c r="CX158" s="672"/>
      <c r="CY158" s="672"/>
      <c r="CZ158" s="672"/>
    </row>
    <row r="159" spans="84:104" ht="15">
      <c r="CF159" s="672"/>
      <c r="CG159" s="672"/>
      <c r="CH159" s="672"/>
      <c r="CI159" s="672"/>
      <c r="CJ159" s="672"/>
      <c r="CK159" s="672"/>
      <c r="CL159" s="672"/>
      <c r="CM159" s="672"/>
      <c r="CN159" s="672"/>
      <c r="CO159" s="672"/>
      <c r="CP159" s="672"/>
      <c r="CQ159" s="672"/>
      <c r="CR159" s="672"/>
      <c r="CS159" s="672"/>
      <c r="CT159" s="672"/>
      <c r="CU159" s="672"/>
      <c r="CV159" s="672"/>
      <c r="CW159" s="672"/>
      <c r="CX159" s="672"/>
      <c r="CY159" s="672"/>
      <c r="CZ159" s="672"/>
    </row>
    <row r="160" spans="84:104" ht="15">
      <c r="CF160" s="672"/>
      <c r="CG160" s="672"/>
      <c r="CH160" s="672"/>
      <c r="CI160" s="672"/>
      <c r="CJ160" s="672"/>
      <c r="CK160" s="672"/>
      <c r="CL160" s="672"/>
      <c r="CM160" s="672"/>
      <c r="CN160" s="672"/>
      <c r="CO160" s="672"/>
      <c r="CP160" s="672"/>
      <c r="CQ160" s="672"/>
      <c r="CR160" s="672"/>
      <c r="CS160" s="672"/>
      <c r="CT160" s="672"/>
      <c r="CU160" s="672"/>
      <c r="CV160" s="672"/>
      <c r="CW160" s="672"/>
      <c r="CX160" s="672"/>
      <c r="CY160" s="672"/>
      <c r="CZ160" s="672"/>
    </row>
    <row r="161" spans="84:104" ht="15">
      <c r="CF161" s="672"/>
      <c r="CG161" s="672"/>
      <c r="CH161" s="672"/>
      <c r="CI161" s="672"/>
      <c r="CJ161" s="672"/>
      <c r="CK161" s="672"/>
      <c r="CL161" s="672"/>
      <c r="CM161" s="672"/>
      <c r="CN161" s="672"/>
      <c r="CO161" s="672"/>
      <c r="CP161" s="672"/>
      <c r="CQ161" s="672"/>
      <c r="CR161" s="672"/>
      <c r="CS161" s="672"/>
      <c r="CT161" s="672"/>
      <c r="CU161" s="672"/>
      <c r="CV161" s="672"/>
      <c r="CW161" s="672"/>
      <c r="CX161" s="672"/>
      <c r="CY161" s="672"/>
      <c r="CZ161" s="672"/>
    </row>
    <row r="162" spans="84:104" ht="15">
      <c r="CF162" s="672"/>
      <c r="CG162" s="672"/>
      <c r="CH162" s="672"/>
      <c r="CI162" s="672"/>
      <c r="CJ162" s="672"/>
      <c r="CK162" s="672"/>
      <c r="CL162" s="672"/>
      <c r="CM162" s="672"/>
      <c r="CN162" s="672"/>
      <c r="CO162" s="672"/>
      <c r="CP162" s="672"/>
      <c r="CQ162" s="672"/>
      <c r="CR162" s="672"/>
      <c r="CS162" s="672"/>
      <c r="CT162" s="672"/>
      <c r="CU162" s="672"/>
      <c r="CV162" s="672"/>
      <c r="CW162" s="672"/>
      <c r="CX162" s="672"/>
      <c r="CY162" s="672"/>
      <c r="CZ162" s="672"/>
    </row>
  </sheetData>
  <sheetProtection password="CF3C" sheet="1" objects="1" scenarios="1"/>
  <mergeCells count="3">
    <mergeCell ref="A33:A34"/>
    <mergeCell ref="G33:G34"/>
    <mergeCell ref="F33:F34"/>
  </mergeCells>
  <printOptions horizontalCentered="1" verticalCentered="1"/>
  <pageMargins left="0.75" right="0.75" top="1" bottom="1" header="0" footer="0"/>
  <pageSetup fitToHeight="1" fitToWidth="1" horizontalDpi="600" verticalDpi="600" orientation="portrait" paperSize="9" scale="73" r:id="rId3"/>
  <headerFooter alignWithMargins="0">
    <oddHeader>&amp;R&amp;"Verdana,Negrita"&amp;9TAMBO 2006 -&amp;"Verdana,Normal"Modelo de Análisis: Tambo, Invernada y Agricultura
</oddHeader>
    <oddFooter>&amp;C&amp;"Arial,Cursiva"&amp;9Administración  de Organizaciones - Facultad de Ciencias Agrarias - UNL</oddFooter>
  </headerFooter>
  <legacyDrawing r:id="rId2"/>
</worksheet>
</file>

<file path=xl/worksheets/sheet3.xml><?xml version="1.0" encoding="utf-8"?>
<worksheet xmlns="http://schemas.openxmlformats.org/spreadsheetml/2006/main" xmlns:r="http://schemas.openxmlformats.org/officeDocument/2006/relationships">
  <sheetPr codeName="Hoja3" transitionEvaluation="1" transitionEntry="1">
    <pageSetUpPr fitToPage="1"/>
  </sheetPr>
  <dimension ref="B1:CU263"/>
  <sheetViews>
    <sheetView showGridLines="0" zoomScalePageLayoutView="0" workbookViewId="0" topLeftCell="A1">
      <selection activeCell="D27" sqref="D27"/>
    </sheetView>
  </sheetViews>
  <sheetFormatPr defaultColWidth="9.796875" defaultRowHeight="15" customHeight="1"/>
  <cols>
    <col min="1" max="1" width="2.796875" style="9" customWidth="1"/>
    <col min="2" max="2" width="27.8984375" style="9" customWidth="1"/>
    <col min="3" max="3" width="14.19921875" style="9" customWidth="1"/>
    <col min="4" max="4" width="12.296875" style="81" customWidth="1"/>
    <col min="5" max="5" width="12.8984375" style="21" customWidth="1"/>
    <col min="6" max="8" width="5.796875" style="21" customWidth="1"/>
    <col min="9" max="9" width="8.8984375" style="21" customWidth="1"/>
    <col min="10" max="10" width="8" style="21" customWidth="1"/>
    <col min="11" max="11" width="8.19921875" style="21" customWidth="1"/>
    <col min="12" max="12" width="10.3984375" style="21" customWidth="1"/>
    <col min="13" max="13" width="6.19921875" style="21" customWidth="1"/>
    <col min="14" max="14" width="18.09765625" style="9" customWidth="1"/>
    <col min="15" max="15" width="28.69921875" style="947" customWidth="1"/>
    <col min="16" max="16" width="8" style="947" customWidth="1"/>
    <col min="17" max="17" width="26.19921875" style="9" customWidth="1"/>
    <col min="18" max="20" width="8" style="9" customWidth="1"/>
    <col min="21" max="21" width="9.796875" style="9" customWidth="1"/>
    <col min="22" max="22" width="8" style="1029" customWidth="1"/>
    <col min="23" max="23" width="10.09765625" style="1029" customWidth="1"/>
    <col min="24" max="24" width="29.09765625" style="9" customWidth="1"/>
    <col min="25" max="25" width="9.3984375" style="947" customWidth="1"/>
    <col min="26" max="26" width="16.296875" style="9" customWidth="1"/>
    <col min="27" max="27" width="8.8984375" style="9" customWidth="1"/>
    <col min="28" max="28" width="9.8984375" style="1185" customWidth="1"/>
    <col min="29" max="29" width="8.59765625" style="9" customWidth="1"/>
    <col min="30" max="30" width="18.19921875" style="9" customWidth="1"/>
    <col min="31" max="31" width="9" style="9" customWidth="1"/>
    <col min="32" max="32" width="10.69921875" style="9" customWidth="1"/>
    <col min="33" max="33" width="10.8984375" style="9" customWidth="1"/>
    <col min="34" max="34" width="10.3984375" style="947" customWidth="1"/>
    <col min="35" max="35" width="23.796875" style="9" customWidth="1"/>
    <col min="36" max="36" width="7.8984375" style="9" customWidth="1"/>
    <col min="37" max="37" width="9.09765625" style="9" customWidth="1"/>
    <col min="38" max="38" width="20" style="9" customWidth="1"/>
    <col min="39" max="39" width="9" style="9" customWidth="1"/>
    <col min="40" max="41" width="9.796875" style="9" customWidth="1"/>
    <col min="42" max="42" width="10.8984375" style="9" customWidth="1"/>
    <col min="43" max="45" width="9.796875" style="9" customWidth="1"/>
    <col min="46" max="46" width="12.8984375" style="947" customWidth="1"/>
    <col min="47" max="50" width="10.796875" style="1137" customWidth="1"/>
    <col min="51" max="51" width="11.69921875" style="1137" customWidth="1"/>
    <col min="52" max="52" width="9.796875" style="1137" customWidth="1"/>
    <col min="53" max="53" width="23.59765625" style="1137" customWidth="1"/>
    <col min="54" max="55" width="9.796875" style="434" customWidth="1"/>
    <col min="56" max="57" width="9.796875" style="9" customWidth="1"/>
    <col min="58" max="58" width="1.796875" style="9" customWidth="1"/>
    <col min="59" max="59" width="2.796875" style="9" customWidth="1"/>
    <col min="60" max="60" width="30.796875" style="9" customWidth="1"/>
    <col min="61" max="61" width="12.09765625" style="9" customWidth="1"/>
    <col min="62" max="62" width="11.19921875" style="9" customWidth="1"/>
    <col min="63" max="63" width="30.796875" style="9" customWidth="1"/>
    <col min="64" max="64" width="11.796875" style="9" customWidth="1"/>
    <col min="65" max="69" width="30.796875" style="9" customWidth="1"/>
    <col min="70" max="70" width="13.796875" style="9" customWidth="1"/>
    <col min="71" max="71" width="1.796875" style="9" customWidth="1"/>
    <col min="72" max="72" width="56.796875" style="9" customWidth="1"/>
    <col min="73" max="73" width="1.796875" style="9" customWidth="1"/>
    <col min="74" max="74" width="2.796875" style="9" customWidth="1"/>
    <col min="75" max="75" width="11.796875" style="9" customWidth="1"/>
    <col min="76" max="76" width="16.796875" style="9" customWidth="1"/>
    <col min="77" max="77" width="5.796875" style="9" customWidth="1"/>
    <col min="78" max="78" width="30.796875" style="9" customWidth="1"/>
    <col min="79" max="79" width="11.796875" style="9" customWidth="1"/>
    <col min="80" max="93" width="9.796875" style="9" customWidth="1"/>
    <col min="94" max="94" width="1.796875" style="9" customWidth="1"/>
    <col min="95" max="98" width="9.796875" style="9" customWidth="1"/>
    <col min="99" max="99" width="3.796875" style="9" customWidth="1"/>
    <col min="100" max="16384" width="9.796875" style="9" customWidth="1"/>
  </cols>
  <sheetData>
    <row r="1" spans="2:84" ht="15" customHeight="1">
      <c r="B1" s="99"/>
      <c r="C1" s="99"/>
      <c r="D1" s="29"/>
      <c r="E1" s="29"/>
      <c r="F1" s="46"/>
      <c r="G1" s="46"/>
      <c r="H1" s="46"/>
      <c r="I1" s="46"/>
      <c r="J1" s="46"/>
      <c r="K1" s="46"/>
      <c r="L1" s="85"/>
      <c r="Q1" s="194" t="s">
        <v>294</v>
      </c>
      <c r="X1" s="947"/>
      <c r="Z1" s="194" t="s">
        <v>295</v>
      </c>
      <c r="AA1" s="20"/>
      <c r="AB1" s="1182"/>
      <c r="AC1" s="20"/>
      <c r="AD1" s="20"/>
      <c r="AE1" s="20"/>
      <c r="AF1" s="20"/>
      <c r="AG1" s="20"/>
      <c r="AH1" s="1057"/>
      <c r="AL1" s="196" t="s">
        <v>296</v>
      </c>
      <c r="AQ1" s="133"/>
      <c r="AR1" s="133"/>
      <c r="AS1" s="133"/>
      <c r="BF1" s="82"/>
      <c r="BG1" s="46"/>
      <c r="BH1" s="20"/>
      <c r="BI1" s="46"/>
      <c r="BJ1" s="241"/>
      <c r="BK1" s="241"/>
      <c r="BL1" s="241"/>
      <c r="BM1" s="99"/>
      <c r="BR1" s="83" t="s">
        <v>297</v>
      </c>
      <c r="CE1" s="19"/>
      <c r="CF1" s="19"/>
    </row>
    <row r="2" spans="2:99" ht="15" customHeight="1">
      <c r="B2" s="275" t="s">
        <v>298</v>
      </c>
      <c r="C2" s="275"/>
      <c r="D2" s="275"/>
      <c r="E2" s="275"/>
      <c r="G2" s="1336" t="s">
        <v>299</v>
      </c>
      <c r="H2" s="1336"/>
      <c r="I2" s="1336"/>
      <c r="J2" s="1336"/>
      <c r="K2" s="1336"/>
      <c r="L2" s="1336"/>
      <c r="M2" s="1336"/>
      <c r="Q2" s="303" t="s">
        <v>300</v>
      </c>
      <c r="R2" s="303" t="s">
        <v>301</v>
      </c>
      <c r="S2" s="335" t="s">
        <v>302</v>
      </c>
      <c r="T2" s="303" t="s">
        <v>303</v>
      </c>
      <c r="U2" s="336" t="s">
        <v>304</v>
      </c>
      <c r="X2" s="947"/>
      <c r="Z2" s="377" t="s">
        <v>305</v>
      </c>
      <c r="AA2" s="378"/>
      <c r="AB2" s="1183"/>
      <c r="AC2" s="378"/>
      <c r="AD2" s="378"/>
      <c r="AE2" s="378"/>
      <c r="AF2" s="378"/>
      <c r="AG2" s="379"/>
      <c r="AH2" s="379"/>
      <c r="AI2" s="19"/>
      <c r="AL2" s="363"/>
      <c r="AM2" s="336"/>
      <c r="AN2" s="328" t="s">
        <v>306</v>
      </c>
      <c r="AO2" s="329"/>
      <c r="AP2" s="330"/>
      <c r="AQ2" s="364" t="s">
        <v>307</v>
      </c>
      <c r="AR2" s="365"/>
      <c r="AS2" s="366"/>
      <c r="BF2" s="1034"/>
      <c r="BG2" s="1034"/>
      <c r="BH2" s="20"/>
      <c r="BI2" s="46"/>
      <c r="BJ2" s="241"/>
      <c r="BK2" s="241"/>
      <c r="BL2" s="241"/>
      <c r="BM2" s="99"/>
      <c r="BR2" s="20"/>
      <c r="BS2" s="20"/>
      <c r="BT2" s="20"/>
      <c r="BU2" s="46"/>
      <c r="BV2" s="46"/>
      <c r="BZ2" s="19" t="s">
        <v>297</v>
      </c>
      <c r="CA2" s="19"/>
      <c r="CB2" s="20"/>
      <c r="CC2" s="20"/>
      <c r="CD2" s="20"/>
      <c r="CE2" s="20"/>
      <c r="CF2" s="19"/>
      <c r="CL2" s="20"/>
      <c r="CM2" s="20"/>
      <c r="CN2" s="86" t="s">
        <v>297</v>
      </c>
      <c r="CO2" s="20"/>
      <c r="CP2" s="34"/>
      <c r="CQ2" s="20"/>
      <c r="CR2" s="34"/>
      <c r="CS2" s="34"/>
      <c r="CT2" s="34"/>
      <c r="CU2" s="34"/>
    </row>
    <row r="3" spans="2:99" ht="15" customHeight="1">
      <c r="B3" s="331"/>
      <c r="C3" s="332"/>
      <c r="D3" s="333"/>
      <c r="E3" s="334"/>
      <c r="G3" s="1177"/>
      <c r="H3" s="1178"/>
      <c r="I3" s="1178"/>
      <c r="J3" s="1178"/>
      <c r="K3" s="1178"/>
      <c r="L3" s="673"/>
      <c r="M3" s="1179"/>
      <c r="Q3" s="337"/>
      <c r="R3" s="317" t="s">
        <v>74</v>
      </c>
      <c r="S3" s="338" t="s">
        <v>308</v>
      </c>
      <c r="T3" s="317"/>
      <c r="U3" s="339" t="s">
        <v>309</v>
      </c>
      <c r="X3" s="947"/>
      <c r="Z3" s="380" t="s">
        <v>310</v>
      </c>
      <c r="AA3" s="381"/>
      <c r="AB3" s="1184"/>
      <c r="AC3" s="381"/>
      <c r="AD3" s="381"/>
      <c r="AE3" s="381"/>
      <c r="AF3" s="381"/>
      <c r="AG3" s="382"/>
      <c r="AH3" s="382"/>
      <c r="AL3" s="367" t="s">
        <v>311</v>
      </c>
      <c r="AM3" s="321" t="s">
        <v>312</v>
      </c>
      <c r="AN3" s="321" t="s">
        <v>313</v>
      </c>
      <c r="AO3" s="315" t="s">
        <v>314</v>
      </c>
      <c r="AP3" s="368" t="s">
        <v>315</v>
      </c>
      <c r="AQ3" s="321" t="s">
        <v>313</v>
      </c>
      <c r="AR3" s="315" t="s">
        <v>314</v>
      </c>
      <c r="AS3" s="368" t="s">
        <v>315</v>
      </c>
      <c r="BF3" s="1034"/>
      <c r="BG3" s="1034"/>
      <c r="BH3" s="20"/>
      <c r="BI3" s="46"/>
      <c r="BJ3" s="85"/>
      <c r="BK3" s="241"/>
      <c r="BL3" s="241"/>
      <c r="BM3" s="99"/>
      <c r="BR3" s="20"/>
      <c r="BS3" s="85"/>
      <c r="BT3" s="85"/>
      <c r="BU3" s="85"/>
      <c r="BV3" s="85"/>
      <c r="BZ3" s="20"/>
      <c r="CA3" s="20"/>
      <c r="CB3" s="20"/>
      <c r="CC3" s="20"/>
      <c r="CD3" s="20"/>
      <c r="CE3" s="20"/>
      <c r="CF3" s="20"/>
      <c r="CL3" s="20"/>
      <c r="CM3" s="20"/>
      <c r="CN3" s="20"/>
      <c r="CO3" s="20"/>
      <c r="CP3" s="34"/>
      <c r="CQ3" s="34"/>
      <c r="CR3" s="34"/>
      <c r="CS3" s="34"/>
      <c r="CT3" s="34"/>
      <c r="CU3" s="34"/>
    </row>
    <row r="4" spans="2:99" ht="15" customHeight="1">
      <c r="B4" s="12" t="s">
        <v>316</v>
      </c>
      <c r="C4" s="85"/>
      <c r="D4" s="92" t="s">
        <v>317</v>
      </c>
      <c r="E4" s="102">
        <v>0</v>
      </c>
      <c r="G4" s="1339" t="s">
        <v>318</v>
      </c>
      <c r="H4" s="212"/>
      <c r="I4" s="1173" t="s">
        <v>319</v>
      </c>
      <c r="J4" s="1173" t="s">
        <v>320</v>
      </c>
      <c r="K4" s="1173" t="s">
        <v>321</v>
      </c>
      <c r="L4" s="1173" t="s">
        <v>322</v>
      </c>
      <c r="M4" s="91" t="s">
        <v>323</v>
      </c>
      <c r="Q4" s="12" t="s">
        <v>324</v>
      </c>
      <c r="R4" s="89">
        <v>0</v>
      </c>
      <c r="S4" s="89">
        <v>0</v>
      </c>
      <c r="T4" s="89">
        <v>0</v>
      </c>
      <c r="U4" s="437">
        <f>R4*T4*S4/12</f>
        <v>0</v>
      </c>
      <c r="V4" s="1148">
        <f>U4/2.4</f>
        <v>0</v>
      </c>
      <c r="X4" s="947"/>
      <c r="AL4" s="369" t="s">
        <v>325</v>
      </c>
      <c r="AM4" s="88"/>
      <c r="AN4" s="88"/>
      <c r="AP4" s="141"/>
      <c r="AR4" s="141"/>
      <c r="AS4" s="141"/>
      <c r="BF4" s="1034"/>
      <c r="BG4" s="46"/>
      <c r="BH4" s="20"/>
      <c r="BI4" s="46"/>
      <c r="BJ4" s="288"/>
      <c r="BK4" s="284"/>
      <c r="BL4" s="284"/>
      <c r="BM4" s="99"/>
      <c r="BR4" s="20"/>
      <c r="BS4" s="85"/>
      <c r="BT4" s="92"/>
      <c r="BU4" s="46"/>
      <c r="BV4" s="85"/>
      <c r="BZ4" s="20"/>
      <c r="CA4" s="20"/>
      <c r="CB4" s="20"/>
      <c r="CC4" s="20"/>
      <c r="CD4" s="20"/>
      <c r="CE4" s="20"/>
      <c r="CF4" s="20"/>
      <c r="CL4" s="20"/>
      <c r="CM4" s="20"/>
      <c r="CN4" s="20"/>
      <c r="CO4" s="20"/>
      <c r="CP4" s="34"/>
      <c r="CQ4" s="20"/>
      <c r="CR4" s="20"/>
      <c r="CS4" s="20"/>
      <c r="CT4" s="20"/>
      <c r="CU4" s="20"/>
    </row>
    <row r="5" spans="2:99" ht="15" customHeight="1">
      <c r="B5" s="12" t="s">
        <v>326</v>
      </c>
      <c r="C5" s="46"/>
      <c r="D5" s="115" t="s">
        <v>308</v>
      </c>
      <c r="E5" s="102">
        <v>0</v>
      </c>
      <c r="G5" s="1337" t="s">
        <v>327</v>
      </c>
      <c r="H5" s="1338"/>
      <c r="I5" s="1174">
        <v>0</v>
      </c>
      <c r="J5" s="1174">
        <v>0</v>
      </c>
      <c r="K5" s="1174">
        <v>0</v>
      </c>
      <c r="L5" s="1174">
        <v>0</v>
      </c>
      <c r="M5" s="1175">
        <f>IF(I5=0,0,(L5/I5))</f>
        <v>0</v>
      </c>
      <c r="Q5" s="12" t="s">
        <v>328</v>
      </c>
      <c r="R5" s="89">
        <v>0</v>
      </c>
      <c r="S5" s="89">
        <v>0</v>
      </c>
      <c r="T5" s="89">
        <v>0</v>
      </c>
      <c r="U5" s="437">
        <f aca="true" t="shared" si="0" ref="U5:U14">R5*T5*S5/12</f>
        <v>0</v>
      </c>
      <c r="V5" s="1148">
        <f>U5/2.4</f>
        <v>0</v>
      </c>
      <c r="X5" s="947"/>
      <c r="Z5" s="352" t="s">
        <v>329</v>
      </c>
      <c r="AA5" s="353"/>
      <c r="AB5" s="1186"/>
      <c r="AC5" s="354"/>
      <c r="AD5" s="352" t="s">
        <v>330</v>
      </c>
      <c r="AE5" s="353"/>
      <c r="AF5" s="353"/>
      <c r="AG5" s="354"/>
      <c r="AL5" s="142" t="s">
        <v>331</v>
      </c>
      <c r="AM5" s="143"/>
      <c r="AN5" s="437">
        <f>SUM(AN6:AN7)</f>
        <v>0</v>
      </c>
      <c r="AP5" s="144"/>
      <c r="AQ5" s="90">
        <f>SUM(AQ6:AQ7)</f>
        <v>0</v>
      </c>
      <c r="AR5" s="144"/>
      <c r="AS5" s="144"/>
      <c r="BF5" s="1034"/>
      <c r="BG5" s="46"/>
      <c r="BH5" s="20"/>
      <c r="BI5" s="46"/>
      <c r="BJ5" s="241"/>
      <c r="BK5" s="241"/>
      <c r="BL5" s="241"/>
      <c r="BM5" s="99"/>
      <c r="BR5" s="20"/>
      <c r="BS5" s="85"/>
      <c r="BT5" s="92"/>
      <c r="BU5" s="46"/>
      <c r="BV5" s="85"/>
      <c r="BZ5" s="20"/>
      <c r="CA5" s="20"/>
      <c r="CB5" s="20"/>
      <c r="CC5" s="20"/>
      <c r="CD5" s="20"/>
      <c r="CE5" s="20"/>
      <c r="CF5" s="20"/>
      <c r="CL5" s="20"/>
      <c r="CM5" s="20"/>
      <c r="CN5" s="20"/>
      <c r="CO5" s="20"/>
      <c r="CP5" s="20"/>
      <c r="CQ5" s="20"/>
      <c r="CR5" s="34"/>
      <c r="CS5" s="20"/>
      <c r="CT5" s="20"/>
      <c r="CU5" s="34"/>
    </row>
    <row r="6" spans="2:99" ht="15" customHeight="1">
      <c r="B6" s="116" t="s">
        <v>332</v>
      </c>
      <c r="C6" s="99"/>
      <c r="D6" s="115" t="s">
        <v>333</v>
      </c>
      <c r="E6" s="426">
        <f>I17</f>
        <v>0</v>
      </c>
      <c r="F6" s="46"/>
      <c r="G6" s="1337" t="s">
        <v>334</v>
      </c>
      <c r="H6" s="1338"/>
      <c r="I6" s="1174">
        <v>0</v>
      </c>
      <c r="J6" s="1174">
        <v>0</v>
      </c>
      <c r="K6" s="1174">
        <v>0</v>
      </c>
      <c r="L6" s="1174">
        <v>0</v>
      </c>
      <c r="M6" s="1175">
        <f aca="true" t="shared" si="1" ref="M6:M17">IF(I6=0,0,(L6/I6))</f>
        <v>0</v>
      </c>
      <c r="Q6" s="12" t="s">
        <v>335</v>
      </c>
      <c r="R6" s="89">
        <v>0</v>
      </c>
      <c r="S6" s="89">
        <v>0</v>
      </c>
      <c r="T6" s="89">
        <v>0</v>
      </c>
      <c r="U6" s="437">
        <f t="shared" si="0"/>
        <v>0</v>
      </c>
      <c r="V6" s="1148">
        <f>U6/2.4</f>
        <v>0</v>
      </c>
      <c r="X6" s="947"/>
      <c r="Z6" s="303" t="s">
        <v>336</v>
      </c>
      <c r="AA6" s="320"/>
      <c r="AB6" s="305" t="s">
        <v>6</v>
      </c>
      <c r="AC6" s="356"/>
      <c r="AD6" s="303" t="s">
        <v>337</v>
      </c>
      <c r="AE6" s="320"/>
      <c r="AF6" s="355" t="s">
        <v>6</v>
      </c>
      <c r="AG6" s="357"/>
      <c r="AL6" s="142" t="s">
        <v>338</v>
      </c>
      <c r="AM6" s="465">
        <f>(17+'VII. Impresión'!DL11*1.1)*18.545/365</f>
        <v>0.8637397260273973</v>
      </c>
      <c r="AN6" s="75">
        <v>0</v>
      </c>
      <c r="AO6" s="96">
        <v>0</v>
      </c>
      <c r="AP6" s="146">
        <v>0</v>
      </c>
      <c r="AQ6" s="75">
        <v>0</v>
      </c>
      <c r="AR6" s="96">
        <v>0</v>
      </c>
      <c r="AS6" s="146">
        <v>0</v>
      </c>
      <c r="BE6" s="1034"/>
      <c r="BF6" s="1034"/>
      <c r="BG6" s="46"/>
      <c r="BH6" s="20"/>
      <c r="BI6" s="46"/>
      <c r="BJ6" s="241"/>
      <c r="BK6" s="241"/>
      <c r="BL6" s="241"/>
      <c r="BM6" s="99"/>
      <c r="BR6" s="20"/>
      <c r="BS6" s="85"/>
      <c r="BT6" s="92"/>
      <c r="BU6" s="46"/>
      <c r="BV6" s="85"/>
      <c r="BZ6" s="20"/>
      <c r="CA6" s="20"/>
      <c r="CB6" s="20"/>
      <c r="CC6" s="20"/>
      <c r="CD6" s="20"/>
      <c r="CE6" s="20"/>
      <c r="CF6" s="20"/>
      <c r="CL6" s="20"/>
      <c r="CM6" s="20"/>
      <c r="CN6" s="20"/>
      <c r="CO6" s="20"/>
      <c r="CP6" s="20"/>
      <c r="CQ6" s="34"/>
      <c r="CR6" s="34"/>
      <c r="CS6" s="34"/>
      <c r="CT6" s="20"/>
      <c r="CU6" s="34"/>
    </row>
    <row r="7" spans="2:99" ht="15" customHeight="1">
      <c r="B7" s="941" t="s">
        <v>339</v>
      </c>
      <c r="C7" s="1172">
        <f>IF(E6=0,0,(E7/E6))</f>
        <v>0</v>
      </c>
      <c r="D7" s="117" t="s">
        <v>340</v>
      </c>
      <c r="E7" s="432">
        <f>J17</f>
        <v>0</v>
      </c>
      <c r="G7" s="1337" t="s">
        <v>341</v>
      </c>
      <c r="H7" s="1338"/>
      <c r="I7" s="1174">
        <v>0</v>
      </c>
      <c r="J7" s="1174">
        <v>0</v>
      </c>
      <c r="K7" s="1174">
        <v>0</v>
      </c>
      <c r="L7" s="1174">
        <v>0</v>
      </c>
      <c r="M7" s="1175">
        <f t="shared" si="1"/>
        <v>0</v>
      </c>
      <c r="Q7" s="12" t="s">
        <v>342</v>
      </c>
      <c r="R7" s="89">
        <v>0</v>
      </c>
      <c r="S7" s="89">
        <v>0</v>
      </c>
      <c r="T7" s="89">
        <v>0</v>
      </c>
      <c r="U7" s="437">
        <f t="shared" si="0"/>
        <v>0</v>
      </c>
      <c r="V7" s="1148">
        <f>U7/2.4</f>
        <v>0</v>
      </c>
      <c r="X7" s="947"/>
      <c r="Z7" s="358"/>
      <c r="AA7" s="303" t="s">
        <v>18</v>
      </c>
      <c r="AB7" s="305" t="s">
        <v>343</v>
      </c>
      <c r="AC7" s="305" t="s">
        <v>344</v>
      </c>
      <c r="AD7" s="317"/>
      <c r="AE7" s="306" t="s">
        <v>18</v>
      </c>
      <c r="AF7" s="314" t="s">
        <v>343</v>
      </c>
      <c r="AG7" s="308" t="s">
        <v>344</v>
      </c>
      <c r="AL7" s="142" t="s">
        <v>345</v>
      </c>
      <c r="AM7" s="155">
        <v>0</v>
      </c>
      <c r="AN7" s="75">
        <v>0</v>
      </c>
      <c r="AO7" s="96">
        <v>0</v>
      </c>
      <c r="AP7" s="146">
        <v>0</v>
      </c>
      <c r="AQ7" s="75">
        <v>0</v>
      </c>
      <c r="AR7" s="96">
        <v>0</v>
      </c>
      <c r="AS7" s="146">
        <v>0</v>
      </c>
      <c r="BF7" s="1034"/>
      <c r="BG7" s="46"/>
      <c r="BH7" s="20"/>
      <c r="BI7" s="46"/>
      <c r="BJ7" s="241"/>
      <c r="BK7" s="241"/>
      <c r="BL7" s="241"/>
      <c r="BM7" s="99"/>
      <c r="BR7" s="20"/>
      <c r="BS7" s="85"/>
      <c r="BT7" s="98"/>
      <c r="BU7" s="46"/>
      <c r="BV7" s="85"/>
      <c r="BZ7" s="20"/>
      <c r="CA7" s="20"/>
      <c r="CB7" s="20"/>
      <c r="CC7" s="20"/>
      <c r="CD7" s="20"/>
      <c r="CE7" s="20"/>
      <c r="CF7" s="20"/>
      <c r="CL7" s="20"/>
      <c r="CM7" s="20"/>
      <c r="CN7" s="20"/>
      <c r="CO7" s="20"/>
      <c r="CP7" s="20"/>
      <c r="CQ7" s="20"/>
      <c r="CR7" s="34"/>
      <c r="CS7" s="20"/>
      <c r="CT7" s="34"/>
      <c r="CU7" s="34"/>
    </row>
    <row r="8" spans="2:99" ht="15" customHeight="1">
      <c r="B8" s="941" t="s">
        <v>346</v>
      </c>
      <c r="C8" s="1172">
        <f>IF(E6=0,0,(E8/E6))</f>
        <v>0</v>
      </c>
      <c r="D8" s="117" t="s">
        <v>347</v>
      </c>
      <c r="E8" s="432">
        <f>K17</f>
        <v>0</v>
      </c>
      <c r="G8" s="1337" t="s">
        <v>348</v>
      </c>
      <c r="H8" s="1338"/>
      <c r="I8" s="1174">
        <v>0</v>
      </c>
      <c r="J8" s="1174">
        <v>0</v>
      </c>
      <c r="K8" s="1174">
        <v>0</v>
      </c>
      <c r="L8" s="1174">
        <v>0</v>
      </c>
      <c r="M8" s="1175">
        <f t="shared" si="1"/>
        <v>0</v>
      </c>
      <c r="Q8" s="270" t="s">
        <v>349</v>
      </c>
      <c r="R8" s="89">
        <v>0</v>
      </c>
      <c r="S8" s="89">
        <v>0</v>
      </c>
      <c r="T8" s="89">
        <v>0</v>
      </c>
      <c r="U8" s="437">
        <f t="shared" si="0"/>
        <v>0</v>
      </c>
      <c r="X8" s="947"/>
      <c r="Z8" s="22" t="s">
        <v>350</v>
      </c>
      <c r="AA8" s="93">
        <v>0</v>
      </c>
      <c r="AB8" s="1197">
        <v>0</v>
      </c>
      <c r="AC8" s="94">
        <v>0</v>
      </c>
      <c r="AD8" s="16" t="s">
        <v>351</v>
      </c>
      <c r="AE8" s="33"/>
      <c r="AF8" s="40"/>
      <c r="AG8" s="95"/>
      <c r="AL8" s="142" t="s">
        <v>352</v>
      </c>
      <c r="AM8" s="155">
        <v>0</v>
      </c>
      <c r="AN8" s="75">
        <v>0</v>
      </c>
      <c r="AO8" s="96">
        <v>0</v>
      </c>
      <c r="AP8" s="146">
        <v>0</v>
      </c>
      <c r="AQ8" s="75">
        <v>0</v>
      </c>
      <c r="AR8" s="96">
        <v>0</v>
      </c>
      <c r="AS8" s="146">
        <v>0</v>
      </c>
      <c r="BF8" s="1034"/>
      <c r="BG8" s="46"/>
      <c r="BH8" s="20"/>
      <c r="BI8" s="46"/>
      <c r="BJ8" s="288"/>
      <c r="BK8" s="285"/>
      <c r="BL8" s="284"/>
      <c r="BM8" s="99"/>
      <c r="BR8" s="20"/>
      <c r="BS8" s="85"/>
      <c r="BT8" s="99"/>
      <c r="BU8" s="46"/>
      <c r="BV8" s="85"/>
      <c r="BZ8" s="20"/>
      <c r="CA8" s="20"/>
      <c r="CB8" s="20"/>
      <c r="CC8" s="20"/>
      <c r="CD8" s="20"/>
      <c r="CE8" s="20"/>
      <c r="CF8" s="20"/>
      <c r="CL8" s="20"/>
      <c r="CM8" s="20"/>
      <c r="CN8" s="20"/>
      <c r="CO8" s="20"/>
      <c r="CP8" s="20"/>
      <c r="CQ8" s="20"/>
      <c r="CR8" s="34"/>
      <c r="CS8" s="20"/>
      <c r="CT8" s="34"/>
      <c r="CU8" s="34"/>
    </row>
    <row r="9" spans="2:99" ht="15" customHeight="1">
      <c r="B9" s="16" t="s">
        <v>353</v>
      </c>
      <c r="C9" s="99"/>
      <c r="D9" s="120" t="s">
        <v>7</v>
      </c>
      <c r="E9" s="433">
        <f>L17</f>
        <v>0</v>
      </c>
      <c r="G9" s="1337" t="s">
        <v>354</v>
      </c>
      <c r="H9" s="1338"/>
      <c r="I9" s="1174">
        <v>0</v>
      </c>
      <c r="J9" s="1174">
        <v>0</v>
      </c>
      <c r="K9" s="1174">
        <v>0</v>
      </c>
      <c r="L9" s="1174">
        <v>0</v>
      </c>
      <c r="M9" s="1175">
        <f t="shared" si="1"/>
        <v>0</v>
      </c>
      <c r="Q9" s="12" t="s">
        <v>355</v>
      </c>
      <c r="R9" s="89">
        <v>0</v>
      </c>
      <c r="S9" s="89">
        <v>0</v>
      </c>
      <c r="T9" s="89">
        <v>0</v>
      </c>
      <c r="U9" s="437">
        <f t="shared" si="0"/>
        <v>0</v>
      </c>
      <c r="X9" s="947"/>
      <c r="Z9" s="32" t="s">
        <v>356</v>
      </c>
      <c r="AA9" s="89">
        <v>0</v>
      </c>
      <c r="AB9" s="1198">
        <v>0</v>
      </c>
      <c r="AC9" s="97">
        <v>0</v>
      </c>
      <c r="AD9" s="47" t="str">
        <f>B46</f>
        <v>Novillos</v>
      </c>
      <c r="AE9" s="33">
        <v>0</v>
      </c>
      <c r="AF9" s="40">
        <v>0</v>
      </c>
      <c r="AG9" s="95">
        <v>0</v>
      </c>
      <c r="AL9" s="142" t="s">
        <v>357</v>
      </c>
      <c r="AM9" s="155">
        <v>0</v>
      </c>
      <c r="AN9" s="75">
        <v>0</v>
      </c>
      <c r="AO9" s="96">
        <v>0</v>
      </c>
      <c r="AP9" s="148">
        <v>0</v>
      </c>
      <c r="AQ9" s="75">
        <v>0</v>
      </c>
      <c r="AR9" s="96">
        <v>0</v>
      </c>
      <c r="AS9" s="148">
        <v>0</v>
      </c>
      <c r="BF9" s="1034"/>
      <c r="BG9" s="46"/>
      <c r="BH9" s="20"/>
      <c r="BI9" s="46"/>
      <c r="BJ9" s="288"/>
      <c r="BK9" s="285"/>
      <c r="BL9" s="284"/>
      <c r="BM9" s="99"/>
      <c r="BR9" s="20"/>
      <c r="BS9" s="85"/>
      <c r="BT9" s="92"/>
      <c r="BU9" s="46"/>
      <c r="BV9" s="85"/>
      <c r="BZ9" s="20"/>
      <c r="CA9" s="20"/>
      <c r="CB9" s="20"/>
      <c r="CC9" s="20"/>
      <c r="CD9" s="20"/>
      <c r="CE9" s="20"/>
      <c r="CF9" s="20"/>
      <c r="CL9" s="20"/>
      <c r="CM9" s="20"/>
      <c r="CN9" s="20"/>
      <c r="CO9" s="20"/>
      <c r="CP9" s="20"/>
      <c r="CQ9" s="20"/>
      <c r="CR9" s="34"/>
      <c r="CS9" s="20"/>
      <c r="CT9" s="34"/>
      <c r="CU9" s="34"/>
    </row>
    <row r="10" spans="2:99" ht="15" customHeight="1">
      <c r="B10" s="12" t="s">
        <v>358</v>
      </c>
      <c r="C10" s="99"/>
      <c r="D10" s="120" t="s">
        <v>359</v>
      </c>
      <c r="E10" s="1171">
        <f>M17</f>
        <v>0</v>
      </c>
      <c r="F10" s="9"/>
      <c r="G10" s="1337" t="s">
        <v>360</v>
      </c>
      <c r="H10" s="1338"/>
      <c r="I10" s="1174">
        <v>0</v>
      </c>
      <c r="J10" s="1174">
        <v>0</v>
      </c>
      <c r="K10" s="1174">
        <v>0</v>
      </c>
      <c r="L10" s="1174">
        <v>0</v>
      </c>
      <c r="M10" s="1175">
        <f t="shared" si="1"/>
        <v>0</v>
      </c>
      <c r="Q10" s="12" t="s">
        <v>328</v>
      </c>
      <c r="R10" s="89">
        <v>0</v>
      </c>
      <c r="S10" s="89">
        <v>0</v>
      </c>
      <c r="T10" s="89">
        <v>0</v>
      </c>
      <c r="U10" s="437">
        <f t="shared" si="0"/>
        <v>0</v>
      </c>
      <c r="X10" s="947"/>
      <c r="Z10" s="32" t="s">
        <v>361</v>
      </c>
      <c r="AA10" s="89">
        <v>0</v>
      </c>
      <c r="AB10" s="1198">
        <v>0</v>
      </c>
      <c r="AC10" s="97">
        <v>0</v>
      </c>
      <c r="AD10" s="47" t="str">
        <f>B47</f>
        <v>Vaquillonas</v>
      </c>
      <c r="AE10" s="33">
        <v>0</v>
      </c>
      <c r="AF10" s="40">
        <v>0</v>
      </c>
      <c r="AG10" s="95">
        <v>0</v>
      </c>
      <c r="AL10" s="142" t="s">
        <v>362</v>
      </c>
      <c r="AM10" s="155">
        <v>0</v>
      </c>
      <c r="AN10" s="75">
        <v>0</v>
      </c>
      <c r="AO10" s="96">
        <v>0</v>
      </c>
      <c r="AP10" s="148">
        <v>0</v>
      </c>
      <c r="AQ10" s="75">
        <v>0</v>
      </c>
      <c r="AR10" s="96">
        <v>0</v>
      </c>
      <c r="AS10" s="148">
        <v>0</v>
      </c>
      <c r="BF10" s="1034"/>
      <c r="BG10" s="46"/>
      <c r="BH10" s="20"/>
      <c r="BI10" s="46"/>
      <c r="BJ10" s="288"/>
      <c r="BK10" s="286"/>
      <c r="BL10" s="284"/>
      <c r="BM10" s="99"/>
      <c r="BR10" s="20"/>
      <c r="BS10" s="85"/>
      <c r="BT10" s="99"/>
      <c r="BU10" s="46"/>
      <c r="BV10" s="85"/>
      <c r="BZ10" s="20"/>
      <c r="CA10" s="20"/>
      <c r="CB10" s="20"/>
      <c r="CC10" s="20"/>
      <c r="CD10" s="20"/>
      <c r="CE10" s="20"/>
      <c r="CF10" s="20"/>
      <c r="CL10" s="20"/>
      <c r="CM10" s="20"/>
      <c r="CN10" s="20"/>
      <c r="CO10" s="20"/>
      <c r="CP10" s="20"/>
      <c r="CQ10" s="20"/>
      <c r="CR10" s="34"/>
      <c r="CS10" s="20"/>
      <c r="CT10" s="34"/>
      <c r="CU10" s="34"/>
    </row>
    <row r="11" spans="2:99" ht="15" customHeight="1">
      <c r="B11" s="278" t="s">
        <v>363</v>
      </c>
      <c r="C11" s="114"/>
      <c r="D11" s="92" t="s">
        <v>293</v>
      </c>
      <c r="E11" s="147" t="s">
        <v>1195</v>
      </c>
      <c r="G11" s="1337" t="s">
        <v>364</v>
      </c>
      <c r="H11" s="1338"/>
      <c r="I11" s="1174">
        <v>0</v>
      </c>
      <c r="J11" s="1174">
        <v>0</v>
      </c>
      <c r="K11" s="1174">
        <v>0</v>
      </c>
      <c r="L11" s="1174">
        <v>0</v>
      </c>
      <c r="M11" s="1175">
        <f t="shared" si="1"/>
        <v>0</v>
      </c>
      <c r="Q11" s="12" t="s">
        <v>365</v>
      </c>
      <c r="R11" s="89">
        <v>0</v>
      </c>
      <c r="S11" s="89">
        <v>0</v>
      </c>
      <c r="T11" s="89">
        <v>0</v>
      </c>
      <c r="U11" s="437">
        <f t="shared" si="0"/>
        <v>0</v>
      </c>
      <c r="X11" s="947"/>
      <c r="Z11" s="32" t="s">
        <v>366</v>
      </c>
      <c r="AA11" s="89">
        <v>0</v>
      </c>
      <c r="AB11" s="1198">
        <v>0</v>
      </c>
      <c r="AC11" s="97">
        <v>0</v>
      </c>
      <c r="AD11" s="47" t="str">
        <f>B48</f>
        <v>Vacas</v>
      </c>
      <c r="AE11" s="33">
        <v>0</v>
      </c>
      <c r="AF11" s="40">
        <v>0</v>
      </c>
      <c r="AG11" s="95">
        <v>0</v>
      </c>
      <c r="AL11" s="142" t="s">
        <v>367</v>
      </c>
      <c r="AM11" s="155">
        <v>0</v>
      </c>
      <c r="AN11" s="75">
        <v>0</v>
      </c>
      <c r="AO11" s="96">
        <v>0</v>
      </c>
      <c r="AP11" s="148">
        <v>0</v>
      </c>
      <c r="AQ11" s="75">
        <v>0</v>
      </c>
      <c r="AR11" s="96">
        <v>0</v>
      </c>
      <c r="AS11" s="148">
        <v>0</v>
      </c>
      <c r="BF11" s="1034"/>
      <c r="BG11" s="46"/>
      <c r="BH11" s="20"/>
      <c r="BI11" s="46"/>
      <c r="BJ11" s="288"/>
      <c r="BK11" s="284"/>
      <c r="BL11" s="284"/>
      <c r="BM11" s="99"/>
      <c r="BR11" s="20"/>
      <c r="BS11" s="85"/>
      <c r="BT11" s="99"/>
      <c r="BU11" s="46"/>
      <c r="BV11" s="85"/>
      <c r="BZ11" s="20"/>
      <c r="CA11" s="20"/>
      <c r="CB11" s="20"/>
      <c r="CC11" s="20"/>
      <c r="CD11" s="20"/>
      <c r="CE11" s="20"/>
      <c r="CF11" s="20"/>
      <c r="CL11" s="20"/>
      <c r="CM11" s="20"/>
      <c r="CN11" s="20"/>
      <c r="CO11" s="20"/>
      <c r="CP11" s="20"/>
      <c r="CQ11" s="20"/>
      <c r="CR11" s="34"/>
      <c r="CS11" s="20"/>
      <c r="CT11" s="34"/>
      <c r="CU11" s="34"/>
    </row>
    <row r="12" spans="2:99" ht="15" customHeight="1">
      <c r="B12" s="32" t="s">
        <v>368</v>
      </c>
      <c r="C12" s="115" t="s">
        <v>369</v>
      </c>
      <c r="D12" s="115" t="s">
        <v>370</v>
      </c>
      <c r="E12" s="147">
        <v>0</v>
      </c>
      <c r="G12" s="1337" t="s">
        <v>371</v>
      </c>
      <c r="H12" s="1338"/>
      <c r="I12" s="1174">
        <v>0</v>
      </c>
      <c r="J12" s="1174">
        <v>0</v>
      </c>
      <c r="K12" s="1174">
        <v>0</v>
      </c>
      <c r="L12" s="1174">
        <v>0</v>
      </c>
      <c r="M12" s="1175">
        <f t="shared" si="1"/>
        <v>0</v>
      </c>
      <c r="Q12" s="12" t="s">
        <v>342</v>
      </c>
      <c r="R12" s="89">
        <v>0</v>
      </c>
      <c r="S12" s="89">
        <v>0</v>
      </c>
      <c r="T12" s="89">
        <v>0</v>
      </c>
      <c r="U12" s="437">
        <f>R12*T12*S12/12</f>
        <v>0</v>
      </c>
      <c r="X12" s="947"/>
      <c r="Z12" s="270" t="s">
        <v>372</v>
      </c>
      <c r="AA12" s="89">
        <v>0</v>
      </c>
      <c r="AB12" s="1198">
        <v>0</v>
      </c>
      <c r="AC12" s="97">
        <v>0</v>
      </c>
      <c r="AD12" s="273" t="s">
        <v>373</v>
      </c>
      <c r="AE12" s="33">
        <v>0</v>
      </c>
      <c r="AF12" s="40">
        <v>0</v>
      </c>
      <c r="AG12" s="95">
        <v>0</v>
      </c>
      <c r="AL12" s="142" t="s">
        <v>374</v>
      </c>
      <c r="AM12" s="155">
        <v>0</v>
      </c>
      <c r="AN12" s="75">
        <v>0</v>
      </c>
      <c r="AO12" s="96">
        <v>0</v>
      </c>
      <c r="AP12" s="148">
        <v>0</v>
      </c>
      <c r="AQ12" s="75">
        <v>0</v>
      </c>
      <c r="AR12" s="96">
        <v>0</v>
      </c>
      <c r="AS12" s="148">
        <v>0</v>
      </c>
      <c r="BF12" s="1034"/>
      <c r="BG12" s="46"/>
      <c r="BH12" s="20"/>
      <c r="BI12" s="46"/>
      <c r="BJ12" s="288"/>
      <c r="BK12" s="285"/>
      <c r="BL12" s="284"/>
      <c r="BM12" s="99"/>
      <c r="BR12" s="20"/>
      <c r="BS12" s="85"/>
      <c r="BT12" s="92"/>
      <c r="BU12" s="46"/>
      <c r="BV12" s="85"/>
      <c r="BZ12" s="20"/>
      <c r="CA12" s="20"/>
      <c r="CB12" s="20"/>
      <c r="CC12" s="20"/>
      <c r="CD12" s="20"/>
      <c r="CE12" s="19"/>
      <c r="CF12" s="19"/>
      <c r="CL12" s="20"/>
      <c r="CM12" s="20"/>
      <c r="CN12" s="20"/>
      <c r="CO12" s="20"/>
      <c r="CP12" s="20"/>
      <c r="CQ12" s="20"/>
      <c r="CR12" s="34"/>
      <c r="CS12" s="20"/>
      <c r="CT12" s="34"/>
      <c r="CU12" s="34"/>
    </row>
    <row r="13" spans="2:99" ht="15" customHeight="1">
      <c r="B13" s="124"/>
      <c r="C13" s="115" t="s">
        <v>375</v>
      </c>
      <c r="D13" s="115" t="s">
        <v>376</v>
      </c>
      <c r="E13" s="147">
        <v>0</v>
      </c>
      <c r="G13" s="1337" t="s">
        <v>377</v>
      </c>
      <c r="H13" s="1338"/>
      <c r="I13" s="1174">
        <v>0</v>
      </c>
      <c r="J13" s="1174">
        <v>0</v>
      </c>
      <c r="K13" s="1174">
        <v>0</v>
      </c>
      <c r="L13" s="1174">
        <v>0</v>
      </c>
      <c r="M13" s="1175">
        <f t="shared" si="1"/>
        <v>0</v>
      </c>
      <c r="Q13" s="32" t="s">
        <v>378</v>
      </c>
      <c r="R13" s="89">
        <v>0</v>
      </c>
      <c r="S13" s="89">
        <v>0</v>
      </c>
      <c r="T13" s="89">
        <v>0</v>
      </c>
      <c r="U13" s="437">
        <f t="shared" si="0"/>
        <v>0</v>
      </c>
      <c r="X13" s="947"/>
      <c r="Z13" s="270" t="s">
        <v>372</v>
      </c>
      <c r="AA13" s="89">
        <v>0</v>
      </c>
      <c r="AB13" s="1198">
        <v>0</v>
      </c>
      <c r="AC13" s="97">
        <v>0</v>
      </c>
      <c r="AD13" s="28" t="s">
        <v>245</v>
      </c>
      <c r="AE13" s="42"/>
      <c r="AF13" s="43"/>
      <c r="AG13" s="100"/>
      <c r="AL13" s="142" t="s">
        <v>379</v>
      </c>
      <c r="AM13" s="155">
        <v>0</v>
      </c>
      <c r="AN13" s="75">
        <v>0</v>
      </c>
      <c r="AO13" s="96">
        <v>0</v>
      </c>
      <c r="AP13" s="146">
        <v>0</v>
      </c>
      <c r="AQ13" s="75">
        <v>0</v>
      </c>
      <c r="AR13" s="96">
        <v>0</v>
      </c>
      <c r="AS13" s="146">
        <v>0</v>
      </c>
      <c r="BF13" s="1034"/>
      <c r="BG13" s="46"/>
      <c r="BH13" s="20"/>
      <c r="BI13" s="46"/>
      <c r="BJ13" s="288"/>
      <c r="BK13" s="287"/>
      <c r="BL13" s="284"/>
      <c r="BM13" s="99"/>
      <c r="BR13" s="20"/>
      <c r="BS13" s="85"/>
      <c r="BT13" s="92"/>
      <c r="BU13" s="46"/>
      <c r="BV13" s="85"/>
      <c r="BZ13" s="20"/>
      <c r="CA13" s="20"/>
      <c r="CB13" s="20"/>
      <c r="CC13" s="20"/>
      <c r="CD13" s="20"/>
      <c r="CE13" s="20"/>
      <c r="CF13" s="19"/>
      <c r="CL13" s="20"/>
      <c r="CM13" s="20"/>
      <c r="CN13" s="20"/>
      <c r="CO13" s="20"/>
      <c r="CP13" s="20"/>
      <c r="CQ13" s="20"/>
      <c r="CR13" s="34"/>
      <c r="CS13" s="20"/>
      <c r="CT13" s="34"/>
      <c r="CU13" s="34"/>
    </row>
    <row r="14" spans="2:99" ht="15" customHeight="1">
      <c r="B14" s="16"/>
      <c r="C14" s="92"/>
      <c r="D14" s="92" t="s">
        <v>380</v>
      </c>
      <c r="E14" s="147">
        <v>0</v>
      </c>
      <c r="G14" s="1337" t="s">
        <v>381</v>
      </c>
      <c r="H14" s="1338"/>
      <c r="I14" s="1174">
        <v>0</v>
      </c>
      <c r="J14" s="1174">
        <v>0</v>
      </c>
      <c r="K14" s="1174">
        <v>0</v>
      </c>
      <c r="L14" s="1174">
        <v>0</v>
      </c>
      <c r="M14" s="1175">
        <f t="shared" si="1"/>
        <v>0</v>
      </c>
      <c r="Q14" s="32" t="s">
        <v>382</v>
      </c>
      <c r="R14" s="89">
        <v>0</v>
      </c>
      <c r="S14" s="89">
        <v>0</v>
      </c>
      <c r="T14" s="89">
        <v>0</v>
      </c>
      <c r="U14" s="437">
        <f t="shared" si="0"/>
        <v>0</v>
      </c>
      <c r="X14" s="947"/>
      <c r="Z14" s="32" t="s">
        <v>383</v>
      </c>
      <c r="AA14" s="89">
        <v>0</v>
      </c>
      <c r="AB14" s="1198">
        <v>0</v>
      </c>
      <c r="AC14" s="97">
        <v>0</v>
      </c>
      <c r="AD14" s="47" t="str">
        <f>B51</f>
        <v>Novillos</v>
      </c>
      <c r="AE14" s="33">
        <v>0</v>
      </c>
      <c r="AF14" s="40">
        <v>0</v>
      </c>
      <c r="AG14" s="95">
        <v>0</v>
      </c>
      <c r="AL14" s="142" t="s">
        <v>383</v>
      </c>
      <c r="AM14" s="155">
        <v>0</v>
      </c>
      <c r="AN14" s="75">
        <v>0</v>
      </c>
      <c r="AO14" s="96">
        <v>0</v>
      </c>
      <c r="AP14" s="146">
        <v>0</v>
      </c>
      <c r="AQ14" s="75">
        <v>0</v>
      </c>
      <c r="AR14" s="96">
        <v>0</v>
      </c>
      <c r="AS14" s="146">
        <v>0</v>
      </c>
      <c r="BF14" s="1034"/>
      <c r="BG14" s="46"/>
      <c r="BH14" s="20"/>
      <c r="BI14" s="46"/>
      <c r="BJ14" s="288"/>
      <c r="BK14" s="285"/>
      <c r="BL14" s="284"/>
      <c r="BM14" s="99"/>
      <c r="BR14" s="20"/>
      <c r="BS14" s="85"/>
      <c r="BT14" s="92"/>
      <c r="BU14" s="46"/>
      <c r="BV14" s="85"/>
      <c r="BZ14" s="20"/>
      <c r="CA14" s="20"/>
      <c r="CB14" s="20"/>
      <c r="CC14" s="20"/>
      <c r="CD14" s="20"/>
      <c r="CE14" s="20"/>
      <c r="CF14" s="20"/>
      <c r="CG14" s="19"/>
      <c r="CL14" s="20"/>
      <c r="CM14" s="20"/>
      <c r="CN14" s="20"/>
      <c r="CO14" s="20"/>
      <c r="CP14" s="20"/>
      <c r="CQ14" s="20"/>
      <c r="CR14" s="34"/>
      <c r="CS14" s="20"/>
      <c r="CT14" s="34"/>
      <c r="CU14" s="34"/>
    </row>
    <row r="15" spans="2:99" ht="15" customHeight="1">
      <c r="B15" s="126" t="s">
        <v>384</v>
      </c>
      <c r="C15" s="115" t="s">
        <v>385</v>
      </c>
      <c r="D15" s="127" t="s">
        <v>386</v>
      </c>
      <c r="E15" s="102">
        <v>0</v>
      </c>
      <c r="G15" s="1337" t="s">
        <v>387</v>
      </c>
      <c r="H15" s="1338"/>
      <c r="I15" s="1174">
        <v>0</v>
      </c>
      <c r="J15" s="1174">
        <v>0</v>
      </c>
      <c r="K15" s="1174">
        <v>0</v>
      </c>
      <c r="L15" s="1174">
        <v>0</v>
      </c>
      <c r="M15" s="1175">
        <f t="shared" si="1"/>
        <v>0</v>
      </c>
      <c r="Q15" s="32" t="s">
        <v>388</v>
      </c>
      <c r="R15" s="89">
        <v>0</v>
      </c>
      <c r="S15" s="89">
        <v>0</v>
      </c>
      <c r="T15" s="89">
        <v>0</v>
      </c>
      <c r="U15" s="437">
        <f>R15*T15</f>
        <v>0</v>
      </c>
      <c r="X15" s="947"/>
      <c r="Z15" s="32" t="s">
        <v>389</v>
      </c>
      <c r="AA15" s="89">
        <v>0</v>
      </c>
      <c r="AB15" s="1198">
        <v>0</v>
      </c>
      <c r="AC15" s="97">
        <v>0</v>
      </c>
      <c r="AD15" s="47" t="str">
        <f>B52</f>
        <v>Vaquillonas</v>
      </c>
      <c r="AE15" s="33">
        <v>0</v>
      </c>
      <c r="AF15" s="40">
        <v>0</v>
      </c>
      <c r="AG15" s="95">
        <v>0</v>
      </c>
      <c r="AL15" s="156" t="s">
        <v>390</v>
      </c>
      <c r="AM15" s="157"/>
      <c r="AN15" s="466">
        <f>SUM(AN6:AN14)</f>
        <v>0</v>
      </c>
      <c r="AO15" s="51"/>
      <c r="AP15" s="158"/>
      <c r="AQ15" s="466">
        <f>SUM(AQ6:AQ14)</f>
        <v>0</v>
      </c>
      <c r="AR15" s="51"/>
      <c r="AS15" s="158"/>
      <c r="BF15" s="1034"/>
      <c r="BG15" s="46"/>
      <c r="BH15" s="20"/>
      <c r="BI15" s="46"/>
      <c r="BJ15" s="288"/>
      <c r="BK15" s="285"/>
      <c r="BL15" s="284"/>
      <c r="BM15" s="99"/>
      <c r="BR15" s="20"/>
      <c r="BS15" s="85"/>
      <c r="BT15" s="92"/>
      <c r="BU15" s="46"/>
      <c r="BV15" s="85"/>
      <c r="BZ15" s="20"/>
      <c r="CA15" s="20"/>
      <c r="CB15" s="20"/>
      <c r="CC15" s="20"/>
      <c r="CD15" s="20"/>
      <c r="CE15" s="20"/>
      <c r="CF15" s="20"/>
      <c r="CG15" s="19"/>
      <c r="CL15" s="20"/>
      <c r="CM15" s="20"/>
      <c r="CN15" s="20"/>
      <c r="CO15" s="20"/>
      <c r="CP15" s="20"/>
      <c r="CQ15" s="20"/>
      <c r="CR15" s="34"/>
      <c r="CS15" s="20"/>
      <c r="CT15" s="34"/>
      <c r="CU15" s="34"/>
    </row>
    <row r="16" spans="2:99" ht="15" customHeight="1">
      <c r="B16" s="126"/>
      <c r="C16" s="115" t="s">
        <v>391</v>
      </c>
      <c r="D16" s="115" t="s">
        <v>392</v>
      </c>
      <c r="E16" s="123">
        <v>0</v>
      </c>
      <c r="G16" s="1337" t="s">
        <v>393</v>
      </c>
      <c r="H16" s="1338"/>
      <c r="I16" s="1174">
        <v>0</v>
      </c>
      <c r="J16" s="1174">
        <v>0</v>
      </c>
      <c r="K16" s="1174">
        <v>0</v>
      </c>
      <c r="L16" s="1174">
        <v>0</v>
      </c>
      <c r="M16" s="1175">
        <f t="shared" si="1"/>
        <v>0</v>
      </c>
      <c r="Q16" s="32" t="s">
        <v>394</v>
      </c>
      <c r="R16" s="132">
        <v>0</v>
      </c>
      <c r="S16" s="132">
        <v>0</v>
      </c>
      <c r="T16" s="89">
        <v>0</v>
      </c>
      <c r="U16" s="962">
        <f aca="true" t="shared" si="2" ref="U16:U22">R16*T16</f>
        <v>0</v>
      </c>
      <c r="X16" s="947"/>
      <c r="Z16" s="32" t="s">
        <v>395</v>
      </c>
      <c r="AA16" s="89">
        <v>0</v>
      </c>
      <c r="AB16" s="1198">
        <v>0</v>
      </c>
      <c r="AC16" s="97">
        <v>0</v>
      </c>
      <c r="AD16" s="47" t="str">
        <f>B53</f>
        <v>Vacas</v>
      </c>
      <c r="AE16" s="33">
        <v>0</v>
      </c>
      <c r="AF16" s="40">
        <v>0</v>
      </c>
      <c r="AG16" s="95">
        <v>0</v>
      </c>
      <c r="AL16" s="370" t="s">
        <v>396</v>
      </c>
      <c r="AM16" s="160"/>
      <c r="AN16" s="160"/>
      <c r="AO16" s="160"/>
      <c r="AP16" s="158" t="s">
        <v>397</v>
      </c>
      <c r="AQ16" s="160"/>
      <c r="AR16" s="160"/>
      <c r="AS16" s="158" t="s">
        <v>398</v>
      </c>
      <c r="BF16" s="1034"/>
      <c r="BG16" s="46"/>
      <c r="BH16" s="20"/>
      <c r="BI16" s="46"/>
      <c r="BJ16" s="288"/>
      <c r="BK16" s="285"/>
      <c r="BL16" s="284"/>
      <c r="BM16" s="99"/>
      <c r="BR16" s="20"/>
      <c r="BS16" s="85"/>
      <c r="BT16" s="92"/>
      <c r="BU16" s="46"/>
      <c r="BV16" s="85"/>
      <c r="BZ16" s="20"/>
      <c r="CA16" s="20"/>
      <c r="CB16" s="20"/>
      <c r="CC16" s="20"/>
      <c r="CD16" s="20"/>
      <c r="CE16" s="20"/>
      <c r="CF16" s="20"/>
      <c r="CG16" s="19"/>
      <c r="CL16" s="20"/>
      <c r="CM16" s="20"/>
      <c r="CN16" s="20"/>
      <c r="CO16" s="20"/>
      <c r="CP16" s="20"/>
      <c r="CQ16" s="20"/>
      <c r="CR16" s="34"/>
      <c r="CS16" s="20"/>
      <c r="CT16" s="34"/>
      <c r="CU16" s="34"/>
    </row>
    <row r="17" spans="2:99" ht="15" customHeight="1">
      <c r="B17" s="126"/>
      <c r="C17" s="115" t="s">
        <v>399</v>
      </c>
      <c r="D17" s="115"/>
      <c r="E17" s="147">
        <v>0</v>
      </c>
      <c r="G17" s="1339" t="s">
        <v>390</v>
      </c>
      <c r="H17" s="212"/>
      <c r="I17" s="1420">
        <f>SUM(I5:I16)</f>
        <v>0</v>
      </c>
      <c r="J17" s="1420">
        <f>SUM(J5:J16)</f>
        <v>0</v>
      </c>
      <c r="K17" s="1420">
        <f>SUM(K5:K16)</f>
        <v>0</v>
      </c>
      <c r="L17" s="1420">
        <f>SUM(L5:L16)</f>
        <v>0</v>
      </c>
      <c r="M17" s="1176">
        <f t="shared" si="1"/>
        <v>0</v>
      </c>
      <c r="Q17" s="77" t="s">
        <v>400</v>
      </c>
      <c r="R17" s="132">
        <v>0</v>
      </c>
      <c r="S17" s="132">
        <v>0</v>
      </c>
      <c r="T17" s="89">
        <v>0</v>
      </c>
      <c r="U17" s="962">
        <f t="shared" si="2"/>
        <v>0</v>
      </c>
      <c r="X17" s="947"/>
      <c r="Z17" s="32" t="s">
        <v>379</v>
      </c>
      <c r="AA17" s="89">
        <v>0</v>
      </c>
      <c r="AB17" s="1198">
        <v>0</v>
      </c>
      <c r="AC17" s="97">
        <v>0</v>
      </c>
      <c r="AD17" s="389"/>
      <c r="AE17" s="61">
        <v>0</v>
      </c>
      <c r="AF17" s="63">
        <v>0</v>
      </c>
      <c r="AG17" s="362">
        <v>0</v>
      </c>
      <c r="AL17" s="142" t="str">
        <f>B46</f>
        <v>Novillos</v>
      </c>
      <c r="AM17" s="155">
        <v>0</v>
      </c>
      <c r="AN17" s="75">
        <v>0</v>
      </c>
      <c r="AO17" s="89">
        <v>0</v>
      </c>
      <c r="AP17" s="148">
        <v>0</v>
      </c>
      <c r="AQ17" s="75">
        <v>0</v>
      </c>
      <c r="AR17" s="89">
        <v>0</v>
      </c>
      <c r="AS17" s="148">
        <v>0</v>
      </c>
      <c r="BF17" s="1034"/>
      <c r="BG17" s="46"/>
      <c r="BH17" s="20"/>
      <c r="BI17" s="46"/>
      <c r="BJ17" s="288"/>
      <c r="BK17" s="285"/>
      <c r="BL17" s="284"/>
      <c r="BM17" s="99"/>
      <c r="BR17" s="20"/>
      <c r="BS17" s="85"/>
      <c r="BT17" s="99"/>
      <c r="BU17" s="46"/>
      <c r="BV17" s="85"/>
      <c r="BZ17" s="20"/>
      <c r="CA17" s="20"/>
      <c r="CB17" s="20"/>
      <c r="CC17" s="20"/>
      <c r="CD17" s="20"/>
      <c r="CE17" s="20"/>
      <c r="CF17" s="20"/>
      <c r="CG17" s="19"/>
      <c r="CL17" s="20"/>
      <c r="CM17" s="20"/>
      <c r="CN17" s="20"/>
      <c r="CO17" s="20"/>
      <c r="CP17" s="20"/>
      <c r="CQ17" s="20"/>
      <c r="CR17" s="34"/>
      <c r="CS17" s="20"/>
      <c r="CT17" s="34"/>
      <c r="CU17" s="34"/>
    </row>
    <row r="18" spans="2:99" ht="15" customHeight="1">
      <c r="B18" s="126" t="s">
        <v>401</v>
      </c>
      <c r="C18" s="115" t="s">
        <v>402</v>
      </c>
      <c r="D18" s="115" t="s">
        <v>317</v>
      </c>
      <c r="E18" s="102">
        <v>0</v>
      </c>
      <c r="L18" s="128"/>
      <c r="Q18" s="32" t="s">
        <v>403</v>
      </c>
      <c r="R18" s="89">
        <v>0</v>
      </c>
      <c r="S18" s="89">
        <v>0</v>
      </c>
      <c r="T18" s="89">
        <v>0</v>
      </c>
      <c r="U18" s="437">
        <f t="shared" si="2"/>
        <v>0</v>
      </c>
      <c r="X18" s="947"/>
      <c r="Z18" s="60" t="s">
        <v>404</v>
      </c>
      <c r="AA18" s="359">
        <v>0</v>
      </c>
      <c r="AB18" s="1199">
        <v>0</v>
      </c>
      <c r="AC18" s="360">
        <v>0</v>
      </c>
      <c r="AD18" s="32" t="s">
        <v>405</v>
      </c>
      <c r="AE18" s="452">
        <f>IF(AF21=0,0,+(AE9*AG9+AE10*AG10+AE11*AG11+AE12*AG12)/(AE9*AF9+AE10*AF10+AE11*AF11+AE12*AF12))</f>
        <v>0</v>
      </c>
      <c r="AF18" s="462"/>
      <c r="AG18" s="426"/>
      <c r="AL18" s="142" t="s">
        <v>406</v>
      </c>
      <c r="AM18" s="155">
        <v>0</v>
      </c>
      <c r="AN18" s="75">
        <v>0</v>
      </c>
      <c r="AO18" s="89">
        <v>0</v>
      </c>
      <c r="AP18" s="148">
        <v>0</v>
      </c>
      <c r="AQ18" s="75">
        <v>0</v>
      </c>
      <c r="AR18" s="89">
        <v>0</v>
      </c>
      <c r="AS18" s="148">
        <v>0</v>
      </c>
      <c r="BF18" s="1034"/>
      <c r="BG18" s="46"/>
      <c r="BH18" s="19"/>
      <c r="BI18" s="82"/>
      <c r="BJ18" s="288"/>
      <c r="BK18" s="285"/>
      <c r="BL18" s="284"/>
      <c r="BM18" s="99"/>
      <c r="BR18" s="20"/>
      <c r="BS18" s="85"/>
      <c r="BT18" s="92"/>
      <c r="BU18" s="46"/>
      <c r="BV18" s="85"/>
      <c r="BZ18" s="20"/>
      <c r="CA18" s="20"/>
      <c r="CB18" s="20"/>
      <c r="CC18" s="20"/>
      <c r="CD18" s="20"/>
      <c r="CE18" s="20"/>
      <c r="CF18" s="20"/>
      <c r="CG18" s="19"/>
      <c r="CL18" s="20"/>
      <c r="CM18" s="20"/>
      <c r="CN18" s="20"/>
      <c r="CO18" s="20"/>
      <c r="CP18" s="20"/>
      <c r="CQ18" s="20"/>
      <c r="CR18" s="34"/>
      <c r="CS18" s="20"/>
      <c r="CT18" s="34"/>
      <c r="CU18" s="34"/>
    </row>
    <row r="19" spans="2:99" ht="15" customHeight="1">
      <c r="B19" s="126"/>
      <c r="C19" s="115" t="s">
        <v>407</v>
      </c>
      <c r="D19" s="115" t="s">
        <v>408</v>
      </c>
      <c r="E19" s="102">
        <v>0</v>
      </c>
      <c r="F19" s="46"/>
      <c r="G19" s="46"/>
      <c r="H19" s="46"/>
      <c r="I19" s="46"/>
      <c r="J19" s="46"/>
      <c r="K19" s="46"/>
      <c r="L19" s="128"/>
      <c r="Q19" s="32" t="s">
        <v>409</v>
      </c>
      <c r="R19" s="89">
        <v>0</v>
      </c>
      <c r="S19" s="89">
        <v>0</v>
      </c>
      <c r="T19" s="89">
        <v>0</v>
      </c>
      <c r="U19" s="437">
        <f t="shared" si="2"/>
        <v>0</v>
      </c>
      <c r="V19" s="1030"/>
      <c r="W19" s="1030"/>
      <c r="Z19" s="32" t="s">
        <v>410</v>
      </c>
      <c r="AA19" s="452">
        <f>IF(AB21=0,0,+AC22/AB21)</f>
        <v>0</v>
      </c>
      <c r="AB19" s="1200"/>
      <c r="AC19" s="419"/>
      <c r="AD19" s="32" t="s">
        <v>411</v>
      </c>
      <c r="AE19" s="452">
        <f>IF(SUM(AG14:AG17)=0,0,+(AE14*AG14+AE15*AG15+AE16*AG16+AE17*AG17)/(AE14*AF14+AE15*AF15+AE16*AF16))</f>
        <v>0</v>
      </c>
      <c r="AF19" s="424"/>
      <c r="AG19" s="426"/>
      <c r="AL19" s="142" t="s">
        <v>412</v>
      </c>
      <c r="AM19" s="155">
        <v>0</v>
      </c>
      <c r="AN19" s="75">
        <v>0</v>
      </c>
      <c r="AO19" s="89">
        <v>0</v>
      </c>
      <c r="AP19" s="148">
        <v>0</v>
      </c>
      <c r="AQ19" s="75">
        <v>0</v>
      </c>
      <c r="AR19" s="89">
        <v>0</v>
      </c>
      <c r="AS19" s="148">
        <v>0</v>
      </c>
      <c r="BF19" s="1034"/>
      <c r="BG19" s="46"/>
      <c r="BH19" s="19"/>
      <c r="BI19" s="82"/>
      <c r="BJ19" s="288"/>
      <c r="BK19" s="285"/>
      <c r="BL19" s="284"/>
      <c r="BM19" s="99"/>
      <c r="BR19" s="20"/>
      <c r="BS19" s="85"/>
      <c r="BT19" s="92"/>
      <c r="BU19" s="46"/>
      <c r="BV19" s="85"/>
      <c r="BZ19" s="20"/>
      <c r="CA19" s="20"/>
      <c r="CB19" s="20"/>
      <c r="CC19" s="20"/>
      <c r="CD19" s="20"/>
      <c r="CE19" s="20"/>
      <c r="CF19" s="20"/>
      <c r="CG19" s="20"/>
      <c r="CL19" s="20"/>
      <c r="CM19" s="20"/>
      <c r="CN19" s="20"/>
      <c r="CO19" s="20"/>
      <c r="CP19" s="20"/>
      <c r="CQ19" s="20"/>
      <c r="CR19" s="34"/>
      <c r="CS19" s="20"/>
      <c r="CT19" s="34"/>
      <c r="CU19" s="34"/>
    </row>
    <row r="20" spans="2:99" ht="15" customHeight="1">
      <c r="B20" s="126" t="s">
        <v>413</v>
      </c>
      <c r="C20" s="115" t="s">
        <v>414</v>
      </c>
      <c r="D20" s="115" t="s">
        <v>414</v>
      </c>
      <c r="E20" s="102">
        <v>0</v>
      </c>
      <c r="F20" s="46"/>
      <c r="G20" s="46"/>
      <c r="H20" s="46"/>
      <c r="I20" s="46"/>
      <c r="J20" s="46"/>
      <c r="K20" s="46"/>
      <c r="L20" s="128"/>
      <c r="Q20" s="732" t="s">
        <v>415</v>
      </c>
      <c r="R20" s="669">
        <v>0</v>
      </c>
      <c r="S20" s="669">
        <v>0</v>
      </c>
      <c r="T20" s="669">
        <v>0</v>
      </c>
      <c r="U20" s="670">
        <f t="shared" si="2"/>
        <v>0</v>
      </c>
      <c r="V20" s="1030"/>
      <c r="W20" s="1030"/>
      <c r="Z20" s="32" t="s">
        <v>416</v>
      </c>
      <c r="AA20" s="453">
        <f>SUM(AA8:AA18)</f>
        <v>0</v>
      </c>
      <c r="AB20" s="1200"/>
      <c r="AC20" s="419"/>
      <c r="AD20" s="32" t="s">
        <v>416</v>
      </c>
      <c r="AE20" s="453">
        <f>SUM(AE8:AE16)</f>
        <v>0</v>
      </c>
      <c r="AF20" s="424"/>
      <c r="AG20" s="426"/>
      <c r="AL20" s="142" t="s">
        <v>417</v>
      </c>
      <c r="AM20" s="155">
        <v>0</v>
      </c>
      <c r="AN20" s="75">
        <v>0</v>
      </c>
      <c r="AO20" s="89">
        <v>0</v>
      </c>
      <c r="AP20" s="148">
        <v>0</v>
      </c>
      <c r="AQ20" s="75">
        <v>0</v>
      </c>
      <c r="AR20" s="89">
        <v>0</v>
      </c>
      <c r="AS20" s="148">
        <v>0</v>
      </c>
      <c r="BF20" s="1034"/>
      <c r="BG20" s="46"/>
      <c r="BH20" s="19"/>
      <c r="BI20" s="82"/>
      <c r="BJ20" s="241"/>
      <c r="BK20" s="241"/>
      <c r="BL20" s="241"/>
      <c r="BM20" s="99"/>
      <c r="BR20" s="20"/>
      <c r="BS20" s="85"/>
      <c r="BT20" s="92"/>
      <c r="BU20" s="46"/>
      <c r="BV20" s="85"/>
      <c r="BX20" s="20"/>
      <c r="BZ20" s="20"/>
      <c r="CA20" s="20"/>
      <c r="CB20" s="20"/>
      <c r="CC20" s="20"/>
      <c r="CD20" s="20"/>
      <c r="CE20" s="19"/>
      <c r="CF20" s="19"/>
      <c r="CG20" s="20"/>
      <c r="CL20" s="20"/>
      <c r="CM20" s="20"/>
      <c r="CN20" s="20"/>
      <c r="CO20" s="20"/>
      <c r="CP20" s="20"/>
      <c r="CQ20" s="20"/>
      <c r="CR20" s="34"/>
      <c r="CS20" s="20"/>
      <c r="CT20" s="34"/>
      <c r="CU20" s="34"/>
    </row>
    <row r="21" spans="2:99" ht="15" customHeight="1">
      <c r="B21" s="130" t="s">
        <v>418</v>
      </c>
      <c r="C21" s="99"/>
      <c r="D21" s="117" t="s">
        <v>419</v>
      </c>
      <c r="E21" s="131">
        <v>0</v>
      </c>
      <c r="F21" s="85"/>
      <c r="G21" s="85"/>
      <c r="H21" s="85"/>
      <c r="I21" s="85"/>
      <c r="J21" s="542"/>
      <c r="K21" s="85"/>
      <c r="L21" s="128"/>
      <c r="Q21" s="32" t="s">
        <v>420</v>
      </c>
      <c r="R21" s="89">
        <v>0</v>
      </c>
      <c r="S21" s="89">
        <v>0</v>
      </c>
      <c r="T21" s="89">
        <v>0</v>
      </c>
      <c r="U21" s="437">
        <f t="shared" si="2"/>
        <v>0</v>
      </c>
      <c r="V21" s="1031"/>
      <c r="W21" s="1030"/>
      <c r="Z21" s="32" t="s">
        <v>421</v>
      </c>
      <c r="AA21" s="453"/>
      <c r="AB21" s="1200">
        <f>AB8*AA8+AB9*AA9+AB10*AA10+AB11*AA11+AB12*AA12+AB13*AA13+AB14*AA14+AB15*AA15+AB16*AA16+AB17*AA17+AB18*AA18</f>
        <v>0</v>
      </c>
      <c r="AC21" s="419"/>
      <c r="AD21" s="32" t="s">
        <v>421</v>
      </c>
      <c r="AE21" s="453"/>
      <c r="AF21" s="424">
        <f>AF8*AE8+AF9*AE9+AF10*AE10+AF11*AE11+AF12*AE12+AF13*AE13+AF14*AE14+AF15*AE15+AF16*AE16</f>
        <v>0</v>
      </c>
      <c r="AG21" s="426"/>
      <c r="AL21" s="142" t="s">
        <v>422</v>
      </c>
      <c r="AM21" s="155">
        <v>0</v>
      </c>
      <c r="AN21" s="75">
        <v>0</v>
      </c>
      <c r="AO21" s="89">
        <v>0</v>
      </c>
      <c r="AP21" s="148">
        <v>0</v>
      </c>
      <c r="AQ21" s="75">
        <v>0</v>
      </c>
      <c r="AR21" s="89">
        <v>0</v>
      </c>
      <c r="AS21" s="148">
        <v>0</v>
      </c>
      <c r="BF21" s="1034"/>
      <c r="BG21" s="46"/>
      <c r="BH21" s="20"/>
      <c r="BI21" s="20"/>
      <c r="BJ21" s="19"/>
      <c r="BK21" s="19"/>
      <c r="BR21" s="20"/>
      <c r="BS21" s="85"/>
      <c r="BT21" s="85"/>
      <c r="BU21" s="85"/>
      <c r="BV21" s="46"/>
      <c r="BW21" s="20"/>
      <c r="BX21" s="20"/>
      <c r="BY21" s="20"/>
      <c r="BZ21" s="20"/>
      <c r="CA21" s="20"/>
      <c r="CB21" s="20"/>
      <c r="CC21" s="20"/>
      <c r="CD21" s="20"/>
      <c r="CE21" s="20"/>
      <c r="CF21" s="19"/>
      <c r="CG21" s="20"/>
      <c r="CL21" s="20"/>
      <c r="CM21" s="20"/>
      <c r="CN21" s="20"/>
      <c r="CO21" s="20"/>
      <c r="CP21" s="20"/>
      <c r="CQ21" s="20"/>
      <c r="CR21" s="34"/>
      <c r="CS21" s="20"/>
      <c r="CT21" s="34"/>
      <c r="CU21" s="34"/>
    </row>
    <row r="22" spans="2:99" ht="15" customHeight="1">
      <c r="B22" s="130" t="s">
        <v>423</v>
      </c>
      <c r="C22" s="99"/>
      <c r="D22" s="117" t="s">
        <v>419</v>
      </c>
      <c r="E22" s="131">
        <v>0</v>
      </c>
      <c r="F22" s="46"/>
      <c r="G22" s="46"/>
      <c r="H22" s="46"/>
      <c r="I22" s="46"/>
      <c r="J22" s="46"/>
      <c r="K22" s="46"/>
      <c r="L22" s="128"/>
      <c r="Q22" s="32" t="s">
        <v>424</v>
      </c>
      <c r="R22" s="89">
        <v>0</v>
      </c>
      <c r="S22" s="89">
        <v>0</v>
      </c>
      <c r="T22" s="89">
        <v>0</v>
      </c>
      <c r="U22" s="958">
        <f t="shared" si="2"/>
        <v>0</v>
      </c>
      <c r="V22" s="1031"/>
      <c r="W22" s="1030"/>
      <c r="Z22" s="32" t="s">
        <v>425</v>
      </c>
      <c r="AA22" s="453"/>
      <c r="AB22" s="1200"/>
      <c r="AC22" s="419">
        <f>(+AC8*AA8+AC9*AA9+AC10*AA10+AC11*AA11+AC12*AA12+AC13*AA13+AC14*AA14+AC15*AA15+AC16*AA16+AC17*AA17+AC18*AA18)</f>
        <v>0</v>
      </c>
      <c r="AD22" s="32" t="s">
        <v>425</v>
      </c>
      <c r="AE22" s="456"/>
      <c r="AF22" s="425"/>
      <c r="AG22" s="427">
        <f>(AG9*AE9+AG10*AE10+AG11*AE11+AG12*AE12)+('VII. Impresión'!BM9*AE14*E41/100+'VII. Impresión'!BM10*AE15*E42/100+'VII. Impresión'!BM11*AE16*E43/100)</f>
        <v>0</v>
      </c>
      <c r="AL22" s="142" t="s">
        <v>426</v>
      </c>
      <c r="AM22" s="155">
        <v>0</v>
      </c>
      <c r="AN22" s="75">
        <v>0</v>
      </c>
      <c r="AO22" s="89">
        <v>0</v>
      </c>
      <c r="AP22" s="148">
        <v>0</v>
      </c>
      <c r="AQ22" s="75">
        <v>0</v>
      </c>
      <c r="AR22" s="89">
        <v>0</v>
      </c>
      <c r="AS22" s="148">
        <v>0</v>
      </c>
      <c r="BF22" s="1034"/>
      <c r="BG22" s="46"/>
      <c r="BH22" s="20"/>
      <c r="BI22" s="20"/>
      <c r="BJ22" s="19"/>
      <c r="BK22" s="20"/>
      <c r="BR22" s="20"/>
      <c r="BS22" s="20"/>
      <c r="BT22" s="20"/>
      <c r="BU22" s="20"/>
      <c r="BV22" s="20"/>
      <c r="BW22" s="20"/>
      <c r="BX22" s="20"/>
      <c r="BY22" s="20"/>
      <c r="BZ22" s="20"/>
      <c r="CA22" s="20"/>
      <c r="CB22" s="20"/>
      <c r="CC22" s="20"/>
      <c r="CD22" s="20"/>
      <c r="CE22" s="20"/>
      <c r="CF22" s="20"/>
      <c r="CG22" s="19"/>
      <c r="CL22" s="20"/>
      <c r="CM22" s="20"/>
      <c r="CN22" s="20"/>
      <c r="CO22" s="20"/>
      <c r="CP22" s="20"/>
      <c r="CQ22" s="20"/>
      <c r="CR22" s="34"/>
      <c r="CS22" s="20"/>
      <c r="CT22" s="34"/>
      <c r="CU22" s="34"/>
    </row>
    <row r="23" spans="2:99" ht="15" customHeight="1">
      <c r="B23" s="12" t="s">
        <v>427</v>
      </c>
      <c r="C23" s="46"/>
      <c r="D23" s="115" t="s">
        <v>308</v>
      </c>
      <c r="E23" s="102">
        <v>0</v>
      </c>
      <c r="L23" s="128"/>
      <c r="Q23" s="58" t="s">
        <v>428</v>
      </c>
      <c r="R23" s="420">
        <f>SUM(R4:R22)</f>
        <v>0</v>
      </c>
      <c r="S23" s="1128">
        <f>(R4*S4+R5*S5+R6*S6+R7*S7+R8*S8+R9*S9+R10*S10+R11*S11+R12*S12+R13*S13+R14*S14+R15*S15+R16*S16+R17*S17+R18*S18+R19*S19+R20*S20+R21*S21+R22*S22)/12</f>
        <v>0</v>
      </c>
      <c r="T23" s="103"/>
      <c r="U23" s="438">
        <f>SUM(U4:U22)</f>
        <v>0</v>
      </c>
      <c r="Z23" s="303" t="s">
        <v>429</v>
      </c>
      <c r="AA23" s="303" t="s">
        <v>18</v>
      </c>
      <c r="AB23" s="305" t="s">
        <v>343</v>
      </c>
      <c r="AC23" s="305" t="s">
        <v>344</v>
      </c>
      <c r="AD23" s="306" t="s">
        <v>429</v>
      </c>
      <c r="AE23" s="306" t="s">
        <v>18</v>
      </c>
      <c r="AF23" s="314" t="s">
        <v>343</v>
      </c>
      <c r="AG23" s="308" t="s">
        <v>344</v>
      </c>
      <c r="AL23" s="165" t="s">
        <v>134</v>
      </c>
      <c r="AM23" s="155">
        <v>0</v>
      </c>
      <c r="AN23" s="75">
        <v>0</v>
      </c>
      <c r="AO23" s="89">
        <v>0</v>
      </c>
      <c r="AP23" s="148">
        <v>0</v>
      </c>
      <c r="AQ23" s="75">
        <v>0</v>
      </c>
      <c r="AR23" s="89">
        <v>0</v>
      </c>
      <c r="AS23" s="148">
        <v>0</v>
      </c>
      <c r="BF23" s="1034"/>
      <c r="BG23" s="46"/>
      <c r="BH23" s="20"/>
      <c r="BI23" s="20"/>
      <c r="BJ23" s="19"/>
      <c r="BK23" s="20"/>
      <c r="BR23" s="20"/>
      <c r="BS23" s="20"/>
      <c r="BT23" s="20"/>
      <c r="BU23" s="20"/>
      <c r="BV23" s="20"/>
      <c r="BW23" s="20"/>
      <c r="BX23" s="20"/>
      <c r="BY23" s="20"/>
      <c r="BZ23" s="20"/>
      <c r="CA23" s="20"/>
      <c r="CB23" s="20"/>
      <c r="CC23" s="20"/>
      <c r="CD23" s="20"/>
      <c r="CE23" s="20"/>
      <c r="CF23" s="20"/>
      <c r="CG23" s="20"/>
      <c r="CH23" s="19"/>
      <c r="CL23" s="20"/>
      <c r="CM23" s="20"/>
      <c r="CN23" s="20"/>
      <c r="CO23" s="20"/>
      <c r="CP23" s="20"/>
      <c r="CQ23" s="20"/>
      <c r="CR23" s="34"/>
      <c r="CS23" s="20"/>
      <c r="CT23" s="34"/>
      <c r="CU23" s="34"/>
    </row>
    <row r="24" spans="2:99" ht="15" customHeight="1">
      <c r="B24" s="12" t="s">
        <v>430</v>
      </c>
      <c r="C24" s="46"/>
      <c r="D24" s="115" t="s">
        <v>408</v>
      </c>
      <c r="E24" s="102">
        <v>0</v>
      </c>
      <c r="L24" s="128"/>
      <c r="Q24" s="296" t="s">
        <v>431</v>
      </c>
      <c r="R24" s="340"/>
      <c r="S24" s="448">
        <f>IF(AO44=0,0,AO44)</f>
        <v>0</v>
      </c>
      <c r="T24" s="341" t="s">
        <v>432</v>
      </c>
      <c r="U24" s="439">
        <f>S24*18.545*365</f>
        <v>0</v>
      </c>
      <c r="Z24" s="26" t="str">
        <f>Z9</f>
        <v>     Vaca en producción</v>
      </c>
      <c r="AA24" s="93">
        <v>0</v>
      </c>
      <c r="AB24" s="1197">
        <v>0</v>
      </c>
      <c r="AC24" s="94">
        <v>0</v>
      </c>
      <c r="AD24" s="16" t="s">
        <v>433</v>
      </c>
      <c r="AE24" s="33"/>
      <c r="AF24" s="40"/>
      <c r="AG24" s="102"/>
      <c r="AL24" s="156" t="s">
        <v>390</v>
      </c>
      <c r="AM24" s="160"/>
      <c r="AN24" s="467">
        <f>SUM(AN17:AN23)</f>
        <v>0</v>
      </c>
      <c r="AO24" s="160"/>
      <c r="AP24" s="160"/>
      <c r="AQ24" s="467">
        <f>SUM(AQ17:AQ23)</f>
        <v>0</v>
      </c>
      <c r="AR24" s="160"/>
      <c r="AS24" s="160"/>
      <c r="BF24" s="1034"/>
      <c r="BG24" s="46"/>
      <c r="BH24" s="20"/>
      <c r="BI24" s="20"/>
      <c r="BJ24" s="19"/>
      <c r="BK24" s="20"/>
      <c r="BL24" s="20"/>
      <c r="BO24" s="20"/>
      <c r="BP24" s="20"/>
      <c r="BQ24" s="20"/>
      <c r="BR24" s="20"/>
      <c r="BS24" s="20"/>
      <c r="BT24" s="20"/>
      <c r="BU24" s="20"/>
      <c r="BV24" s="20"/>
      <c r="BW24" s="20"/>
      <c r="BX24" s="20"/>
      <c r="BY24" s="20"/>
      <c r="BZ24" s="20"/>
      <c r="CA24" s="20"/>
      <c r="CB24" s="20"/>
      <c r="CC24" s="20"/>
      <c r="CD24" s="20"/>
      <c r="CE24" s="20"/>
      <c r="CF24" s="20"/>
      <c r="CG24" s="20"/>
      <c r="CH24" s="19"/>
      <c r="CL24" s="20"/>
      <c r="CM24" s="20"/>
      <c r="CN24" s="20"/>
      <c r="CO24" s="20"/>
      <c r="CP24" s="20"/>
      <c r="CQ24" s="20"/>
      <c r="CR24" s="34"/>
      <c r="CS24" s="20"/>
      <c r="CT24" s="34"/>
      <c r="CU24" s="34"/>
    </row>
    <row r="25" spans="2:99" ht="15" customHeight="1">
      <c r="B25" s="32" t="s">
        <v>434</v>
      </c>
      <c r="D25" s="134" t="s">
        <v>435</v>
      </c>
      <c r="E25" s="147">
        <v>0</v>
      </c>
      <c r="L25" s="128"/>
      <c r="Q25" s="298" t="s">
        <v>436</v>
      </c>
      <c r="R25" s="342"/>
      <c r="S25" s="449">
        <f>U25/18.545/365</f>
        <v>0</v>
      </c>
      <c r="T25" s="343" t="s">
        <v>432</v>
      </c>
      <c r="U25" s="440">
        <f>U23</f>
        <v>0</v>
      </c>
      <c r="Z25" s="32" t="s">
        <v>361</v>
      </c>
      <c r="AA25" s="89">
        <v>0</v>
      </c>
      <c r="AB25" s="1198">
        <v>0</v>
      </c>
      <c r="AC25" s="97">
        <v>0</v>
      </c>
      <c r="AD25" s="47" t="s">
        <v>406</v>
      </c>
      <c r="AE25" s="33">
        <v>0</v>
      </c>
      <c r="AF25" s="40">
        <v>0</v>
      </c>
      <c r="AG25" s="95">
        <v>0</v>
      </c>
      <c r="AK25" s="20"/>
      <c r="AL25" s="371" t="s">
        <v>437</v>
      </c>
      <c r="AM25" s="160"/>
      <c r="AN25" s="160"/>
      <c r="AO25" s="51"/>
      <c r="AP25" s="158" t="s">
        <v>397</v>
      </c>
      <c r="AQ25" s="160"/>
      <c r="AR25" s="51"/>
      <c r="AS25" s="158" t="s">
        <v>397</v>
      </c>
      <c r="BB25" s="419"/>
      <c r="BC25" s="419"/>
      <c r="BF25" s="1034"/>
      <c r="BG25" s="46"/>
      <c r="BH25" s="20"/>
      <c r="BI25" s="20"/>
      <c r="BJ25" s="19"/>
      <c r="BK25" s="20"/>
      <c r="BL25" s="20"/>
      <c r="BO25" s="20"/>
      <c r="BP25" s="20"/>
      <c r="BQ25" s="20"/>
      <c r="BR25" s="20"/>
      <c r="BS25" s="20"/>
      <c r="BT25" s="20"/>
      <c r="BU25" s="20"/>
      <c r="BV25" s="20"/>
      <c r="BW25" s="20"/>
      <c r="BX25" s="20"/>
      <c r="BY25" s="20"/>
      <c r="BZ25" s="20"/>
      <c r="CA25" s="20"/>
      <c r="CB25" s="20"/>
      <c r="CC25" s="20"/>
      <c r="CD25" s="20"/>
      <c r="CE25" s="20"/>
      <c r="CF25" s="20"/>
      <c r="CG25" s="20"/>
      <c r="CH25" s="19"/>
      <c r="CL25" s="20"/>
      <c r="CM25" s="20"/>
      <c r="CN25" s="20"/>
      <c r="CO25" s="20"/>
      <c r="CP25" s="20"/>
      <c r="CQ25" s="20"/>
      <c r="CR25" s="34"/>
      <c r="CS25" s="20"/>
      <c r="CT25" s="34"/>
      <c r="CU25" s="34"/>
    </row>
    <row r="26" spans="2:99" ht="15" customHeight="1">
      <c r="B26" s="126" t="s">
        <v>438</v>
      </c>
      <c r="C26" s="115" t="s">
        <v>439</v>
      </c>
      <c r="D26" s="115" t="s">
        <v>440</v>
      </c>
      <c r="E26" s="102">
        <v>0</v>
      </c>
      <c r="F26" s="85"/>
      <c r="G26" s="85"/>
      <c r="H26" s="85"/>
      <c r="I26" s="85"/>
      <c r="J26" s="85"/>
      <c r="K26" s="85"/>
      <c r="L26" s="128"/>
      <c r="Q26" s="326" t="s">
        <v>441</v>
      </c>
      <c r="R26" s="327"/>
      <c r="S26" s="450">
        <f>IF(S24=0,0,S25-S24)</f>
        <v>0</v>
      </c>
      <c r="T26" s="344" t="s">
        <v>432</v>
      </c>
      <c r="U26" s="441">
        <f>IF(U25=0,0,U25-U24)</f>
        <v>0</v>
      </c>
      <c r="Z26" s="32" t="s">
        <v>366</v>
      </c>
      <c r="AA26" s="89">
        <v>0</v>
      </c>
      <c r="AB26" s="1198">
        <v>0</v>
      </c>
      <c r="AC26" s="97">
        <v>0</v>
      </c>
      <c r="AD26" s="47" t="s">
        <v>442</v>
      </c>
      <c r="AE26" s="33">
        <v>0</v>
      </c>
      <c r="AF26" s="40">
        <v>0</v>
      </c>
      <c r="AG26" s="95">
        <v>0</v>
      </c>
      <c r="AK26" s="20"/>
      <c r="AL26" s="142" t="str">
        <f>B51</f>
        <v>Novillos</v>
      </c>
      <c r="AM26" s="163">
        <v>0</v>
      </c>
      <c r="AN26" s="75">
        <v>0</v>
      </c>
      <c r="AO26" s="89">
        <v>0</v>
      </c>
      <c r="AP26" s="148">
        <v>0</v>
      </c>
      <c r="AQ26" s="75">
        <v>0</v>
      </c>
      <c r="AR26" s="89">
        <v>0</v>
      </c>
      <c r="AS26" s="148">
        <v>0</v>
      </c>
      <c r="BB26" s="419"/>
      <c r="BC26" s="419"/>
      <c r="BF26" s="1034"/>
      <c r="BG26" s="46"/>
      <c r="BH26" s="20"/>
      <c r="BI26" s="20"/>
      <c r="BJ26" s="19"/>
      <c r="BK26" s="20"/>
      <c r="BL26" s="20"/>
      <c r="BO26" s="20"/>
      <c r="BP26" s="20"/>
      <c r="BQ26" s="20"/>
      <c r="BR26" s="20"/>
      <c r="BS26" s="20"/>
      <c r="BT26" s="20"/>
      <c r="BU26" s="20"/>
      <c r="BV26" s="20"/>
      <c r="BW26" s="20"/>
      <c r="BX26" s="20"/>
      <c r="BY26" s="20"/>
      <c r="BZ26" s="20"/>
      <c r="CA26" s="20"/>
      <c r="CB26" s="20"/>
      <c r="CC26" s="20"/>
      <c r="CD26" s="20"/>
      <c r="CE26" s="20"/>
      <c r="CF26" s="20"/>
      <c r="CG26" s="20"/>
      <c r="CH26" s="19"/>
      <c r="CL26" s="20"/>
      <c r="CM26" s="20"/>
      <c r="CN26" s="20"/>
      <c r="CO26" s="20"/>
      <c r="CP26" s="20"/>
      <c r="CQ26" s="20"/>
      <c r="CR26" s="34"/>
      <c r="CS26" s="20"/>
      <c r="CT26" s="34"/>
      <c r="CU26" s="34"/>
    </row>
    <row r="27" spans="2:99" ht="15" customHeight="1">
      <c r="B27" s="16"/>
      <c r="C27" s="115" t="s">
        <v>443</v>
      </c>
      <c r="D27" s="115" t="s">
        <v>440</v>
      </c>
      <c r="E27" s="102">
        <v>0</v>
      </c>
      <c r="F27" s="136"/>
      <c r="G27" s="136"/>
      <c r="H27" s="136"/>
      <c r="I27" s="136"/>
      <c r="J27" s="136"/>
      <c r="K27" s="136"/>
      <c r="L27" s="128"/>
      <c r="Q27" s="32" t="s">
        <v>444</v>
      </c>
      <c r="R27" s="20"/>
      <c r="S27" s="34"/>
      <c r="U27" s="442">
        <f>IF(S24=0,0,S24/'VII. Impresión'!DC12)</f>
        <v>0</v>
      </c>
      <c r="X27" s="195"/>
      <c r="Z27" s="270" t="s">
        <v>372</v>
      </c>
      <c r="AA27" s="89">
        <v>0</v>
      </c>
      <c r="AB27" s="1198">
        <v>0</v>
      </c>
      <c r="AC27" s="97">
        <v>0</v>
      </c>
      <c r="AD27" s="47" t="s">
        <v>422</v>
      </c>
      <c r="AE27" s="33">
        <v>0</v>
      </c>
      <c r="AF27" s="40">
        <v>0</v>
      </c>
      <c r="AG27" s="95">
        <v>0</v>
      </c>
      <c r="AK27" s="20"/>
      <c r="AL27" s="142" t="str">
        <f>B52</f>
        <v>Vaquillonas</v>
      </c>
      <c r="AM27" s="163">
        <v>0</v>
      </c>
      <c r="AN27" s="75">
        <v>0</v>
      </c>
      <c r="AO27" s="89">
        <v>0</v>
      </c>
      <c r="AP27" s="148">
        <v>0</v>
      </c>
      <c r="AQ27" s="75">
        <v>0</v>
      </c>
      <c r="AR27" s="89">
        <v>0</v>
      </c>
      <c r="AS27" s="148">
        <v>0</v>
      </c>
      <c r="BB27" s="419"/>
      <c r="BC27" s="419"/>
      <c r="BF27" s="1034"/>
      <c r="BG27" s="46"/>
      <c r="BH27" s="20"/>
      <c r="BI27" s="20"/>
      <c r="BJ27" s="20"/>
      <c r="BK27" s="20"/>
      <c r="BL27" s="20"/>
      <c r="BO27" s="20"/>
      <c r="BP27" s="20"/>
      <c r="BQ27" s="20"/>
      <c r="BR27" s="20"/>
      <c r="BS27" s="20"/>
      <c r="BT27" s="20"/>
      <c r="BU27" s="20"/>
      <c r="BV27" s="20"/>
      <c r="BW27" s="20"/>
      <c r="BX27" s="20"/>
      <c r="BY27" s="20"/>
      <c r="BZ27" s="20"/>
      <c r="CA27" s="20"/>
      <c r="CB27" s="20"/>
      <c r="CC27" s="20"/>
      <c r="CD27" s="20"/>
      <c r="CE27" s="20"/>
      <c r="CF27" s="20"/>
      <c r="CG27" s="20"/>
      <c r="CH27" s="19"/>
      <c r="CL27" s="20"/>
      <c r="CM27" s="20"/>
      <c r="CN27" s="20"/>
      <c r="CO27" s="20"/>
      <c r="CP27" s="20"/>
      <c r="CQ27" s="20"/>
      <c r="CR27" s="34"/>
      <c r="CS27" s="20"/>
      <c r="CT27" s="34"/>
      <c r="CU27" s="34"/>
    </row>
    <row r="28" spans="2:99" ht="15" customHeight="1">
      <c r="B28" s="279" t="s">
        <v>445</v>
      </c>
      <c r="C28" s="85"/>
      <c r="D28" s="92"/>
      <c r="E28" s="102"/>
      <c r="F28" s="101"/>
      <c r="G28" s="101"/>
      <c r="H28" s="101"/>
      <c r="I28" s="101"/>
      <c r="J28" s="101"/>
      <c r="K28" s="101"/>
      <c r="L28" s="128"/>
      <c r="Q28" s="313" t="s">
        <v>446</v>
      </c>
      <c r="R28" s="345"/>
      <c r="S28" s="346" t="s">
        <v>447</v>
      </c>
      <c r="T28" s="347" t="s">
        <v>448</v>
      </c>
      <c r="U28" s="443" t="s">
        <v>449</v>
      </c>
      <c r="X28" s="195"/>
      <c r="Z28" s="270" t="s">
        <v>372</v>
      </c>
      <c r="AA28" s="89">
        <v>0</v>
      </c>
      <c r="AB28" s="1198">
        <v>0</v>
      </c>
      <c r="AC28" s="97">
        <v>0</v>
      </c>
      <c r="AD28" s="270" t="s">
        <v>372</v>
      </c>
      <c r="AE28" s="33">
        <v>0</v>
      </c>
      <c r="AF28" s="40">
        <v>0</v>
      </c>
      <c r="AG28" s="95">
        <v>0</v>
      </c>
      <c r="AK28" s="20"/>
      <c r="AL28" s="142" t="str">
        <f>B53</f>
        <v>Vacas</v>
      </c>
      <c r="AM28" s="163">
        <v>0</v>
      </c>
      <c r="AN28" s="75">
        <v>0</v>
      </c>
      <c r="AO28" s="89">
        <v>0</v>
      </c>
      <c r="AP28" s="148">
        <v>0</v>
      </c>
      <c r="AQ28" s="75">
        <v>0</v>
      </c>
      <c r="AR28" s="89">
        <v>0</v>
      </c>
      <c r="AS28" s="148">
        <v>0</v>
      </c>
      <c r="BB28" s="419"/>
      <c r="BC28" s="419"/>
      <c r="BF28" s="1034"/>
      <c r="BG28" s="46"/>
      <c r="BH28" s="20"/>
      <c r="BI28" s="20"/>
      <c r="BJ28" s="20"/>
      <c r="BK28" s="20"/>
      <c r="BL28" s="20"/>
      <c r="BN28" s="20"/>
      <c r="BO28" s="20"/>
      <c r="BP28" s="20"/>
      <c r="BQ28" s="20"/>
      <c r="BR28" s="20"/>
      <c r="BS28" s="20"/>
      <c r="BT28" s="20"/>
      <c r="BU28" s="20"/>
      <c r="BV28" s="20"/>
      <c r="BW28" s="20"/>
      <c r="BX28" s="20"/>
      <c r="BY28" s="20"/>
      <c r="BZ28" s="20"/>
      <c r="CA28" s="20"/>
      <c r="CB28" s="20"/>
      <c r="CC28" s="20"/>
      <c r="CD28" s="20"/>
      <c r="CE28" s="20"/>
      <c r="CF28" s="20"/>
      <c r="CG28" s="20"/>
      <c r="CH28" s="19"/>
      <c r="CL28" s="20"/>
      <c r="CM28" s="20"/>
      <c r="CN28" s="20"/>
      <c r="CO28" s="20"/>
      <c r="CP28" s="20"/>
      <c r="CQ28" s="20"/>
      <c r="CR28" s="34"/>
      <c r="CS28" s="20"/>
      <c r="CT28" s="34"/>
      <c r="CU28" s="34"/>
    </row>
    <row r="29" spans="2:99" ht="15" customHeight="1">
      <c r="B29" s="32" t="s">
        <v>450</v>
      </c>
      <c r="C29" s="122" t="s">
        <v>451</v>
      </c>
      <c r="D29" s="115" t="s">
        <v>452</v>
      </c>
      <c r="E29" s="147">
        <v>0</v>
      </c>
      <c r="F29" s="101"/>
      <c r="G29" s="101"/>
      <c r="H29" s="101"/>
      <c r="I29" s="101"/>
      <c r="J29" s="101"/>
      <c r="K29" s="101"/>
      <c r="L29" s="128"/>
      <c r="Q29" s="109" t="str">
        <f>AL6</f>
        <v>     Vaca ordeño</v>
      </c>
      <c r="R29" s="112" t="s">
        <v>453</v>
      </c>
      <c r="S29" s="414">
        <v>0</v>
      </c>
      <c r="T29" s="110">
        <v>0</v>
      </c>
      <c r="U29" s="444">
        <f>S29*T29*AN35</f>
        <v>0</v>
      </c>
      <c r="X29" s="195"/>
      <c r="Z29" s="32" t="s">
        <v>383</v>
      </c>
      <c r="AA29" s="89">
        <v>0</v>
      </c>
      <c r="AB29" s="1198">
        <v>0</v>
      </c>
      <c r="AC29" s="97">
        <v>0</v>
      </c>
      <c r="AD29" s="28" t="s">
        <v>454</v>
      </c>
      <c r="AE29" s="42"/>
      <c r="AF29" s="43"/>
      <c r="AG29" s="100"/>
      <c r="AK29" s="20"/>
      <c r="AL29" s="171" t="s">
        <v>390</v>
      </c>
      <c r="AM29" s="160"/>
      <c r="AN29" s="467">
        <f>AN28+AN27+AN26</f>
        <v>0</v>
      </c>
      <c r="AO29" s="160"/>
      <c r="AP29" s="160"/>
      <c r="AQ29" s="467">
        <f>AQ28+AQ27+AQ26</f>
        <v>0</v>
      </c>
      <c r="AR29" s="160"/>
      <c r="AS29" s="160"/>
      <c r="BB29" s="419"/>
      <c r="BC29" s="419"/>
      <c r="BF29" s="1034"/>
      <c r="BG29" s="46"/>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19"/>
      <c r="CL29" s="20"/>
      <c r="CM29" s="20"/>
      <c r="CN29" s="20"/>
      <c r="CO29" s="20"/>
      <c r="CP29" s="20"/>
      <c r="CQ29" s="20"/>
      <c r="CR29" s="34"/>
      <c r="CS29" s="20"/>
      <c r="CT29" s="34"/>
      <c r="CU29" s="34"/>
    </row>
    <row r="30" spans="2:99" ht="15" customHeight="1">
      <c r="B30" s="16"/>
      <c r="C30" s="137" t="s">
        <v>455</v>
      </c>
      <c r="D30" s="115" t="s">
        <v>452</v>
      </c>
      <c r="E30" s="102">
        <v>0</v>
      </c>
      <c r="F30" s="101"/>
      <c r="G30" s="101"/>
      <c r="H30" s="101"/>
      <c r="I30" s="101"/>
      <c r="J30" s="101"/>
      <c r="K30" s="101"/>
      <c r="L30" s="128"/>
      <c r="Q30" s="109"/>
      <c r="R30" s="112" t="s">
        <v>456</v>
      </c>
      <c r="S30" s="414">
        <v>0</v>
      </c>
      <c r="T30" s="110">
        <v>0</v>
      </c>
      <c r="U30" s="444">
        <f>S30*T30*AN35</f>
        <v>0</v>
      </c>
      <c r="X30" s="195"/>
      <c r="Z30" s="32" t="s">
        <v>395</v>
      </c>
      <c r="AA30" s="89">
        <v>0</v>
      </c>
      <c r="AB30" s="1198">
        <v>0</v>
      </c>
      <c r="AC30" s="97">
        <v>0</v>
      </c>
      <c r="AD30" s="47" t="str">
        <f>AD14</f>
        <v>Novillos</v>
      </c>
      <c r="AE30" s="33">
        <v>0</v>
      </c>
      <c r="AF30" s="40">
        <v>0</v>
      </c>
      <c r="AG30" s="95">
        <v>0</v>
      </c>
      <c r="AI30" s="46"/>
      <c r="AJ30" s="85"/>
      <c r="AK30" s="20"/>
      <c r="AL30" s="173" t="s">
        <v>457</v>
      </c>
      <c r="AM30" s="79"/>
      <c r="AN30" s="431">
        <f>AN15+AN24+AN29</f>
        <v>0</v>
      </c>
      <c r="AO30" s="174"/>
      <c r="AP30" s="175"/>
      <c r="AQ30" s="431">
        <f>AQ15+AQ24+AQ29</f>
        <v>0</v>
      </c>
      <c r="AR30" s="174"/>
      <c r="AS30" s="175"/>
      <c r="BB30" s="419"/>
      <c r="BC30" s="419"/>
      <c r="BF30" s="1034"/>
      <c r="BG30" s="46"/>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L30" s="20"/>
      <c r="CM30" s="20"/>
      <c r="CN30" s="20"/>
      <c r="CO30" s="20"/>
      <c r="CP30" s="20"/>
      <c r="CQ30" s="20"/>
      <c r="CR30" s="34"/>
      <c r="CS30" s="20"/>
      <c r="CT30" s="34"/>
      <c r="CU30" s="34"/>
    </row>
    <row r="31" spans="2:99" ht="15" customHeight="1">
      <c r="B31" s="16"/>
      <c r="C31" s="137" t="s">
        <v>458</v>
      </c>
      <c r="D31" s="127" t="s">
        <v>459</v>
      </c>
      <c r="E31" s="147">
        <v>0</v>
      </c>
      <c r="F31" s="101"/>
      <c r="G31" s="101"/>
      <c r="H31" s="101"/>
      <c r="I31" s="101"/>
      <c r="J31" s="101"/>
      <c r="K31" s="101"/>
      <c r="L31" s="128"/>
      <c r="Q31" s="16"/>
      <c r="R31" s="112">
        <v>0</v>
      </c>
      <c r="S31" s="414">
        <v>0</v>
      </c>
      <c r="T31" s="110">
        <v>0</v>
      </c>
      <c r="U31" s="444">
        <f>S31*T31*AN35</f>
        <v>0</v>
      </c>
      <c r="X31" s="195"/>
      <c r="Z31" s="32" t="s">
        <v>389</v>
      </c>
      <c r="AA31" s="89">
        <v>0</v>
      </c>
      <c r="AB31" s="1198">
        <v>0</v>
      </c>
      <c r="AC31" s="97">
        <v>0</v>
      </c>
      <c r="AD31" s="47" t="str">
        <f>AD15</f>
        <v>Vaquillonas</v>
      </c>
      <c r="AE31" s="33">
        <v>0</v>
      </c>
      <c r="AF31" s="40">
        <v>0</v>
      </c>
      <c r="AG31" s="95">
        <v>0</v>
      </c>
      <c r="AI31" s="46"/>
      <c r="AJ31" s="85"/>
      <c r="AK31" s="20"/>
      <c r="AS31" s="70"/>
      <c r="BB31" s="419"/>
      <c r="BC31" s="419"/>
      <c r="BF31" s="1034"/>
      <c r="BG31" s="46"/>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L31" s="20"/>
      <c r="CM31" s="20"/>
      <c r="CN31" s="20"/>
      <c r="CO31" s="20"/>
      <c r="CP31" s="20"/>
      <c r="CQ31" s="20"/>
      <c r="CR31" s="34"/>
      <c r="CS31" s="20"/>
      <c r="CT31" s="34"/>
      <c r="CU31" s="34"/>
    </row>
    <row r="32" spans="2:99" ht="15" customHeight="1">
      <c r="B32" s="32" t="s">
        <v>460</v>
      </c>
      <c r="C32" s="82"/>
      <c r="D32" s="115" t="s">
        <v>452</v>
      </c>
      <c r="E32" s="147">
        <v>0</v>
      </c>
      <c r="F32" s="101"/>
      <c r="G32" s="101"/>
      <c r="H32" s="101"/>
      <c r="I32" s="101"/>
      <c r="J32" s="101"/>
      <c r="K32" s="101"/>
      <c r="L32" s="128"/>
      <c r="Q32" s="16"/>
      <c r="R32" s="112">
        <v>0</v>
      </c>
      <c r="S32" s="414">
        <v>0</v>
      </c>
      <c r="T32" s="110">
        <v>0</v>
      </c>
      <c r="U32" s="444">
        <f>S32*T32*AN35</f>
        <v>0</v>
      </c>
      <c r="X32" s="195"/>
      <c r="Z32" s="32" t="s">
        <v>379</v>
      </c>
      <c r="AA32" s="89">
        <v>0</v>
      </c>
      <c r="AB32" s="1198">
        <v>0</v>
      </c>
      <c r="AC32" s="97">
        <v>0</v>
      </c>
      <c r="AD32" s="47" t="str">
        <f>AD16</f>
        <v>Vacas</v>
      </c>
      <c r="AE32" s="33">
        <v>0</v>
      </c>
      <c r="AF32" s="40">
        <v>0</v>
      </c>
      <c r="AG32" s="95">
        <v>0</v>
      </c>
      <c r="AI32" s="114"/>
      <c r="AJ32" s="85"/>
      <c r="AK32" s="20"/>
      <c r="AN32" s="70">
        <f>AN35+AN36</f>
        <v>0</v>
      </c>
      <c r="AP32" s="176" t="s">
        <v>461</v>
      </c>
      <c r="AQ32" s="177" t="s">
        <v>462</v>
      </c>
      <c r="AR32" s="70" t="s">
        <v>462</v>
      </c>
      <c r="BB32" s="419"/>
      <c r="BC32" s="419"/>
      <c r="BF32" s="1034"/>
      <c r="BG32" s="46"/>
      <c r="BH32" s="20"/>
      <c r="BI32" s="86"/>
      <c r="BJ32" s="20"/>
      <c r="BK32" s="20"/>
      <c r="BL32" s="20"/>
      <c r="BM32" s="20"/>
      <c r="BN32" s="20"/>
      <c r="BO32" s="20"/>
      <c r="BP32" s="20"/>
      <c r="BQ32" s="20"/>
      <c r="BR32" s="20"/>
      <c r="BS32" s="20"/>
      <c r="BT32" s="20"/>
      <c r="BU32" s="20"/>
      <c r="BV32" s="20"/>
      <c r="BW32" s="20"/>
      <c r="BX32" s="20"/>
      <c r="BY32" s="20"/>
      <c r="BZ32" s="20"/>
      <c r="CA32" s="20"/>
      <c r="CB32" s="20"/>
      <c r="CC32" s="20"/>
      <c r="CD32" s="20"/>
      <c r="CE32" s="19"/>
      <c r="CF32" s="19"/>
      <c r="CG32" s="20"/>
      <c r="CH32" s="20"/>
      <c r="CL32" s="20"/>
      <c r="CM32" s="20"/>
      <c r="CN32" s="20"/>
      <c r="CO32" s="20"/>
      <c r="CP32" s="20"/>
      <c r="CQ32" s="20"/>
      <c r="CR32" s="34"/>
      <c r="CS32" s="20"/>
      <c r="CT32" s="34"/>
      <c r="CU32" s="34"/>
    </row>
    <row r="33" spans="2:99" ht="15" customHeight="1">
      <c r="B33" s="32" t="s">
        <v>463</v>
      </c>
      <c r="C33" s="82"/>
      <c r="D33" s="115" t="s">
        <v>452</v>
      </c>
      <c r="E33" s="102">
        <v>0</v>
      </c>
      <c r="F33" s="101"/>
      <c r="G33" s="101"/>
      <c r="H33" s="101"/>
      <c r="I33" s="101"/>
      <c r="J33" s="101"/>
      <c r="K33" s="101"/>
      <c r="L33" s="128"/>
      <c r="Q33" s="109" t="str">
        <f>AL7</f>
        <v>     Vaca seca</v>
      </c>
      <c r="R33" s="112">
        <v>0</v>
      </c>
      <c r="S33" s="414">
        <v>0</v>
      </c>
      <c r="T33" s="110">
        <v>0</v>
      </c>
      <c r="U33" s="444">
        <f>S33*T33*AN36</f>
        <v>0</v>
      </c>
      <c r="X33" s="195"/>
      <c r="Z33" s="60" t="s">
        <v>404</v>
      </c>
      <c r="AA33" s="359">
        <v>0</v>
      </c>
      <c r="AB33" s="1199">
        <v>0</v>
      </c>
      <c r="AC33" s="360">
        <v>0</v>
      </c>
      <c r="AD33" s="361" t="s">
        <v>373</v>
      </c>
      <c r="AE33" s="61">
        <v>0</v>
      </c>
      <c r="AF33" s="63">
        <v>0</v>
      </c>
      <c r="AG33" s="362">
        <v>0</v>
      </c>
      <c r="AI33" s="46"/>
      <c r="AJ33" s="85"/>
      <c r="AK33" s="20"/>
      <c r="AL33" s="88" t="str">
        <f>AL4</f>
        <v>1 - TAMBO</v>
      </c>
      <c r="AM33" s="23" t="s">
        <v>464</v>
      </c>
      <c r="AN33" s="113" t="s">
        <v>465</v>
      </c>
      <c r="AO33" s="138"/>
      <c r="AP33" s="80" t="s">
        <v>466</v>
      </c>
      <c r="AQ33" s="281" t="s">
        <v>467</v>
      </c>
      <c r="AR33" s="178" t="s">
        <v>468</v>
      </c>
      <c r="AS33" s="178" t="s">
        <v>469</v>
      </c>
      <c r="BB33" s="419"/>
      <c r="BC33" s="419"/>
      <c r="BF33" s="1034"/>
      <c r="BG33" s="46"/>
      <c r="BH33" s="20"/>
      <c r="BI33" s="20"/>
      <c r="BJ33" s="20"/>
      <c r="BK33" s="86" t="s">
        <v>297</v>
      </c>
      <c r="BL33" s="20"/>
      <c r="BM33" s="20"/>
      <c r="BN33" s="20"/>
      <c r="BO33" s="20"/>
      <c r="BP33" s="20"/>
      <c r="BQ33" s="20"/>
      <c r="BR33" s="20"/>
      <c r="BS33" s="20"/>
      <c r="BT33" s="20"/>
      <c r="BU33" s="20"/>
      <c r="BV33" s="20"/>
      <c r="BW33" s="20"/>
      <c r="BX33" s="20"/>
      <c r="BY33" s="20"/>
      <c r="BZ33" s="20"/>
      <c r="CA33" s="20"/>
      <c r="CB33" s="20"/>
      <c r="CC33" s="20"/>
      <c r="CD33" s="20"/>
      <c r="CE33" s="20"/>
      <c r="CF33" s="19"/>
      <c r="CG33" s="20"/>
      <c r="CH33" s="20"/>
      <c r="CL33" s="20"/>
      <c r="CM33" s="20"/>
      <c r="CN33" s="20"/>
      <c r="CO33" s="20"/>
      <c r="CP33" s="20"/>
      <c r="CQ33" s="20"/>
      <c r="CR33" s="34"/>
      <c r="CS33" s="20"/>
      <c r="CT33" s="34"/>
      <c r="CU33" s="34"/>
    </row>
    <row r="34" spans="2:99" ht="15" customHeight="1">
      <c r="B34" s="32" t="s">
        <v>470</v>
      </c>
      <c r="C34" s="82"/>
      <c r="D34" s="117" t="s">
        <v>419</v>
      </c>
      <c r="E34" s="131">
        <v>0</v>
      </c>
      <c r="F34" s="101"/>
      <c r="G34" s="101"/>
      <c r="H34" s="101"/>
      <c r="I34" s="101"/>
      <c r="J34" s="101"/>
      <c r="K34" s="101"/>
      <c r="L34" s="128"/>
      <c r="Q34" s="109" t="str">
        <f>AL8</f>
        <v>     Vaquillonas preñadas</v>
      </c>
      <c r="R34" s="112">
        <v>0</v>
      </c>
      <c r="S34" s="414">
        <v>0</v>
      </c>
      <c r="T34" s="110">
        <v>0</v>
      </c>
      <c r="U34" s="444">
        <f>S34*T34*AN37</f>
        <v>0</v>
      </c>
      <c r="X34" s="195"/>
      <c r="Z34" s="32" t="s">
        <v>410</v>
      </c>
      <c r="AA34" s="452">
        <f>IF(AB36=0,0,+AC37/AB36)</f>
        <v>0</v>
      </c>
      <c r="AB34" s="503"/>
      <c r="AC34" s="455"/>
      <c r="AD34" s="32" t="s">
        <v>410</v>
      </c>
      <c r="AE34" s="457">
        <f>IF('VII. Impresión'!BM17=0,0,AG37/'VII. Impresión'!BM17)</f>
        <v>0</v>
      </c>
      <c r="AF34" s="458"/>
      <c r="AG34" s="433"/>
      <c r="AI34" s="46"/>
      <c r="AJ34" s="85"/>
      <c r="AK34" s="20"/>
      <c r="AL34" s="73" t="s">
        <v>311</v>
      </c>
      <c r="AM34" s="25" t="s">
        <v>313</v>
      </c>
      <c r="AN34" s="25" t="s">
        <v>313</v>
      </c>
      <c r="AO34" s="80" t="s">
        <v>471</v>
      </c>
      <c r="AP34" s="179" t="s">
        <v>314</v>
      </c>
      <c r="AQ34" s="80" t="s">
        <v>472</v>
      </c>
      <c r="AR34" s="80" t="s">
        <v>472</v>
      </c>
      <c r="AS34" s="178" t="s">
        <v>473</v>
      </c>
      <c r="AT34" s="1532"/>
      <c r="BB34" s="419"/>
      <c r="BC34" s="419"/>
      <c r="BF34" s="1034"/>
      <c r="BG34" s="46"/>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19"/>
      <c r="CG34" s="20"/>
      <c r="CH34" s="20"/>
      <c r="CI34" s="19"/>
      <c r="CL34" s="20"/>
      <c r="CM34" s="20"/>
      <c r="CN34" s="20"/>
      <c r="CO34" s="20"/>
      <c r="CP34" s="20"/>
      <c r="CQ34" s="20"/>
      <c r="CR34" s="34"/>
      <c r="CS34" s="20"/>
      <c r="CT34" s="34"/>
      <c r="CU34" s="34"/>
    </row>
    <row r="35" spans="2:99" ht="15" customHeight="1">
      <c r="B35" s="68"/>
      <c r="C35" s="68"/>
      <c r="D35" s="191"/>
      <c r="E35" s="192"/>
      <c r="F35" s="85"/>
      <c r="G35" s="85"/>
      <c r="H35" s="85"/>
      <c r="I35" s="85"/>
      <c r="J35" s="85"/>
      <c r="K35" s="85"/>
      <c r="L35" s="128"/>
      <c r="Q35" s="109" t="s">
        <v>474</v>
      </c>
      <c r="R35" s="112" t="s">
        <v>453</v>
      </c>
      <c r="S35" s="414">
        <v>0</v>
      </c>
      <c r="T35" s="110">
        <v>0</v>
      </c>
      <c r="U35" s="444">
        <f>S35*T35*(AN40+AN41)</f>
        <v>0</v>
      </c>
      <c r="X35" s="195"/>
      <c r="Z35" s="12" t="s">
        <v>475</v>
      </c>
      <c r="AA35" s="453">
        <f>SUM(AA24:AA33)</f>
        <v>0</v>
      </c>
      <c r="AB35" s="1200"/>
      <c r="AC35" s="419"/>
      <c r="AD35" s="12" t="s">
        <v>475</v>
      </c>
      <c r="AE35" s="453">
        <f>SUM(AE24:AE33)</f>
        <v>0</v>
      </c>
      <c r="AF35" s="459"/>
      <c r="AG35" s="433"/>
      <c r="AH35" s="1057"/>
      <c r="AI35" s="46"/>
      <c r="AJ35" s="85"/>
      <c r="AK35" s="34"/>
      <c r="AL35" s="142" t="str">
        <f aca="true" t="shared" si="3" ref="AL35:AL43">AL6</f>
        <v>     Vaca ordeño</v>
      </c>
      <c r="AM35" s="437">
        <f aca="true" t="shared" si="4" ref="AM35:AM43">AQ6-AN6</f>
        <v>0</v>
      </c>
      <c r="AN35" s="453">
        <f aca="true" t="shared" si="5" ref="AN35:AN43">+(AQ6+AN6)/2</f>
        <v>0</v>
      </c>
      <c r="AO35" s="468">
        <f aca="true" t="shared" si="6" ref="AO35:AO43">AM6*AN35</f>
        <v>0</v>
      </c>
      <c r="AP35" s="469">
        <f aca="true" t="shared" si="7" ref="AP35:AP43">IF(AO6=0,AR6,IF(AR6=0,AO6,(AO6+AR6)/2))</f>
        <v>0</v>
      </c>
      <c r="AQ35" s="468">
        <f aca="true" t="shared" si="8" ref="AQ35:AQ43">AP35*AN35</f>
        <v>0</v>
      </c>
      <c r="AR35" s="470">
        <f>(AQ6*AR6)-(AN6*AO6)</f>
        <v>0</v>
      </c>
      <c r="AS35" s="468">
        <f>IF(AP6=0,AS6,IF(AS6=0,AP6,(AS6+AP6)/2))</f>
        <v>0</v>
      </c>
      <c r="AT35" s="1532"/>
      <c r="BB35" s="419"/>
      <c r="BC35" s="419"/>
      <c r="BD35" s="434"/>
      <c r="BF35" s="1034"/>
      <c r="BG35" s="46"/>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19"/>
      <c r="CG35" s="20"/>
      <c r="CH35" s="20"/>
      <c r="CI35" s="19"/>
      <c r="CL35" s="20"/>
      <c r="CM35" s="20"/>
      <c r="CN35" s="20"/>
      <c r="CO35" s="20"/>
      <c r="CP35" s="20"/>
      <c r="CQ35" s="20"/>
      <c r="CR35" s="34"/>
      <c r="CS35" s="20"/>
      <c r="CT35" s="34"/>
      <c r="CU35" s="34"/>
    </row>
    <row r="36" spans="2:99" ht="15" customHeight="1">
      <c r="B36" s="275" t="s">
        <v>476</v>
      </c>
      <c r="C36" s="276"/>
      <c r="D36" s="277"/>
      <c r="E36" s="193"/>
      <c r="F36" s="85"/>
      <c r="G36" s="85"/>
      <c r="H36" s="85"/>
      <c r="I36" s="85"/>
      <c r="J36" s="85"/>
      <c r="K36" s="85"/>
      <c r="L36" s="128"/>
      <c r="Q36" s="910" t="s">
        <v>474</v>
      </c>
      <c r="R36" s="112">
        <v>0</v>
      </c>
      <c r="S36" s="414">
        <v>0</v>
      </c>
      <c r="T36" s="110">
        <v>0</v>
      </c>
      <c r="U36" s="444">
        <f>S36*T36*(AN40+AN41)</f>
        <v>0</v>
      </c>
      <c r="X36" s="195"/>
      <c r="Z36" s="12" t="s">
        <v>477</v>
      </c>
      <c r="AA36" s="453"/>
      <c r="AB36" s="1201">
        <f>AB24*AA24+AB25*AA25+AB26*AA26+AB27*AA27+AB28*AA28+AB29*AA29+AB30*AA30+AB31*AA31+AB32*AA32+AB33*AA33</f>
        <v>0</v>
      </c>
      <c r="AC36" s="419"/>
      <c r="AD36" s="12" t="s">
        <v>477</v>
      </c>
      <c r="AE36" s="453"/>
      <c r="AF36" s="460">
        <f>AF24*AE24+AF25*AE25+AF26*AE26+AF27*AE27+AF28*AE28+AF29*AE29+AF30*AE30+AF31*AE31+AF32*AE32+AF33*AE33</f>
        <v>0</v>
      </c>
      <c r="AG36" s="433"/>
      <c r="AH36" s="1057"/>
      <c r="AI36" s="46"/>
      <c r="AJ36" s="85"/>
      <c r="AK36" s="20"/>
      <c r="AL36" s="142" t="str">
        <f t="shared" si="3"/>
        <v>     Vaca seca</v>
      </c>
      <c r="AM36" s="437">
        <f t="shared" si="4"/>
        <v>0</v>
      </c>
      <c r="AN36" s="453">
        <f t="shared" si="5"/>
        <v>0</v>
      </c>
      <c r="AO36" s="468">
        <f t="shared" si="6"/>
        <v>0</v>
      </c>
      <c r="AP36" s="469">
        <f t="shared" si="7"/>
        <v>0</v>
      </c>
      <c r="AQ36" s="468">
        <f t="shared" si="8"/>
        <v>0</v>
      </c>
      <c r="AR36" s="470">
        <f aca="true" t="shared" si="9" ref="AR36:AR43">(AQ7*AR7)-(AN7*AO7)</f>
        <v>0</v>
      </c>
      <c r="AS36" s="468">
        <f>IF(AP7=0,AS7,IF(AS7=0,AP7,(AS7+AP7)/2))</f>
        <v>0</v>
      </c>
      <c r="AT36" s="1532"/>
      <c r="BB36" s="419"/>
      <c r="BC36" s="419"/>
      <c r="BD36" s="434"/>
      <c r="BF36" s="1034"/>
      <c r="BG36" s="46"/>
      <c r="BH36" s="19"/>
      <c r="BI36" s="19"/>
      <c r="BJ36" s="19"/>
      <c r="BK36" s="19"/>
      <c r="BL36" s="19"/>
      <c r="BM36" s="19"/>
      <c r="BN36" s="19"/>
      <c r="BO36" s="19"/>
      <c r="BP36" s="19"/>
      <c r="BQ36" s="19"/>
      <c r="BR36" s="20"/>
      <c r="BS36" s="20"/>
      <c r="BT36" s="20"/>
      <c r="BU36" s="20"/>
      <c r="BV36" s="20"/>
      <c r="BW36" s="20"/>
      <c r="BX36" s="20"/>
      <c r="BY36" s="20"/>
      <c r="BZ36" s="20"/>
      <c r="CA36" s="20"/>
      <c r="CB36" s="20"/>
      <c r="CC36" s="20"/>
      <c r="CD36" s="20"/>
      <c r="CE36" s="46"/>
      <c r="CF36" s="46"/>
      <c r="CG36" s="82"/>
      <c r="CH36" s="46"/>
      <c r="CI36" s="46"/>
      <c r="CJ36" s="99"/>
      <c r="CK36" s="99"/>
      <c r="CL36" s="46"/>
      <c r="CM36" s="20"/>
      <c r="CN36" s="20"/>
      <c r="CO36" s="20"/>
      <c r="CP36" s="20"/>
      <c r="CQ36" s="20"/>
      <c r="CR36" s="34"/>
      <c r="CS36" s="20"/>
      <c r="CT36" s="34"/>
      <c r="CU36" s="34"/>
    </row>
    <row r="37" spans="2:99" ht="15" customHeight="1">
      <c r="B37" s="32" t="s">
        <v>478</v>
      </c>
      <c r="C37" s="114"/>
      <c r="D37" s="92"/>
      <c r="E37" s="147" t="s">
        <v>479</v>
      </c>
      <c r="F37" s="85"/>
      <c r="G37" s="85"/>
      <c r="H37" s="85"/>
      <c r="I37" s="85"/>
      <c r="J37" s="85"/>
      <c r="K37" s="85"/>
      <c r="L37" s="128"/>
      <c r="Q37" s="77" t="s">
        <v>480</v>
      </c>
      <c r="S37" s="118" t="s">
        <v>50</v>
      </c>
      <c r="T37" s="119"/>
      <c r="U37" s="444">
        <f>SUM(U29:U36)</f>
        <v>0</v>
      </c>
      <c r="X37" s="195"/>
      <c r="Z37" s="383" t="s">
        <v>481</v>
      </c>
      <c r="AA37" s="456"/>
      <c r="AB37" s="1202"/>
      <c r="AC37" s="425">
        <f>(+AC24*AA24+AC25*AA25+AC26*AA26+AC27*AA27+AC28*AA28+AC29*AA29+AC30*AA30+AC31*AA31+AC32*AA32+AC33*AA33)</f>
        <v>0</v>
      </c>
      <c r="AD37" s="384" t="s">
        <v>481</v>
      </c>
      <c r="AE37" s="456"/>
      <c r="AF37" s="461"/>
      <c r="AG37" s="1300">
        <f>(+AG24*AE24+AG25*AE25+AG26*AE26+AG27*AE27+AG28*AE28)</f>
        <v>0</v>
      </c>
      <c r="AH37" s="1057"/>
      <c r="AI37" s="20"/>
      <c r="AJ37" s="20"/>
      <c r="AK37" s="20"/>
      <c r="AL37" s="142" t="str">
        <f t="shared" si="3"/>
        <v>     Vaquillonas preñadas</v>
      </c>
      <c r="AM37" s="437">
        <f t="shared" si="4"/>
        <v>0</v>
      </c>
      <c r="AN37" s="453">
        <f t="shared" si="5"/>
        <v>0</v>
      </c>
      <c r="AO37" s="468">
        <f t="shared" si="6"/>
        <v>0</v>
      </c>
      <c r="AP37" s="469">
        <f t="shared" si="7"/>
        <v>0</v>
      </c>
      <c r="AQ37" s="468">
        <f t="shared" si="8"/>
        <v>0</v>
      </c>
      <c r="AR37" s="470">
        <f t="shared" si="9"/>
        <v>0</v>
      </c>
      <c r="AS37" s="468">
        <f>IF(AP8=0,AS8,IF(AS8=0,AP8,(AS8+AP8)/2))</f>
        <v>0</v>
      </c>
      <c r="AT37" s="1532"/>
      <c r="BB37" s="419"/>
      <c r="BC37" s="419"/>
      <c r="BD37" s="434"/>
      <c r="BF37" s="1034"/>
      <c r="BG37" s="46"/>
      <c r="BH37" s="19"/>
      <c r="BI37" s="19"/>
      <c r="BJ37" s="19"/>
      <c r="BK37" s="19"/>
      <c r="BL37" s="19"/>
      <c r="BM37" s="19"/>
      <c r="BN37" s="19"/>
      <c r="BO37" s="19"/>
      <c r="BP37" s="19"/>
      <c r="BQ37" s="19"/>
      <c r="BR37" s="20"/>
      <c r="BS37" s="20"/>
      <c r="BT37" s="20"/>
      <c r="BU37" s="20"/>
      <c r="BV37" s="20"/>
      <c r="BW37" s="20"/>
      <c r="BX37" s="20"/>
      <c r="BY37" s="20"/>
      <c r="BZ37" s="20"/>
      <c r="CA37" s="20"/>
      <c r="CB37" s="20"/>
      <c r="CC37" s="20"/>
      <c r="CD37" s="20"/>
      <c r="CE37" s="46"/>
      <c r="CF37" s="122"/>
      <c r="CG37" s="85"/>
      <c r="CH37" s="85"/>
      <c r="CI37" s="85"/>
      <c r="CJ37" s="85"/>
      <c r="CK37" s="85"/>
      <c r="CL37" s="85"/>
      <c r="CM37" s="20"/>
      <c r="CN37" s="20"/>
      <c r="CO37" s="20"/>
      <c r="CP37" s="20"/>
      <c r="CQ37" s="20"/>
      <c r="CR37" s="34"/>
      <c r="CS37" s="20"/>
      <c r="CT37" s="34"/>
      <c r="CU37" s="34"/>
    </row>
    <row r="38" spans="2:99" ht="15" customHeight="1">
      <c r="B38" s="32" t="s">
        <v>244</v>
      </c>
      <c r="C38" s="114"/>
      <c r="D38" s="92" t="s">
        <v>419</v>
      </c>
      <c r="E38" s="131">
        <v>0</v>
      </c>
      <c r="F38" s="85"/>
      <c r="G38" s="85"/>
      <c r="H38" s="85"/>
      <c r="I38" s="85"/>
      <c r="J38" s="85"/>
      <c r="K38" s="85"/>
      <c r="L38" s="128"/>
      <c r="Q38" s="121" t="s">
        <v>482</v>
      </c>
      <c r="R38" s="105"/>
      <c r="S38" s="105"/>
      <c r="T38" s="929">
        <v>0</v>
      </c>
      <c r="U38" s="930">
        <f>T38*650*2</f>
        <v>0</v>
      </c>
      <c r="X38" s="195"/>
      <c r="Z38" s="20"/>
      <c r="AJ38" s="20"/>
      <c r="AK38" s="20"/>
      <c r="AL38" s="142" t="str">
        <f t="shared" si="3"/>
        <v>     Vaquillonas en servicio</v>
      </c>
      <c r="AM38" s="437">
        <f t="shared" si="4"/>
        <v>0</v>
      </c>
      <c r="AN38" s="453">
        <f t="shared" si="5"/>
        <v>0</v>
      </c>
      <c r="AO38" s="468">
        <f t="shared" si="6"/>
        <v>0</v>
      </c>
      <c r="AP38" s="469">
        <f t="shared" si="7"/>
        <v>0</v>
      </c>
      <c r="AQ38" s="468">
        <f t="shared" si="8"/>
        <v>0</v>
      </c>
      <c r="AR38" s="470">
        <f t="shared" si="9"/>
        <v>0</v>
      </c>
      <c r="AS38" s="468">
        <f>IF(AP9=0,AS9*AP38,IF(AS9=0,AP9*AP38,(AS9+AP9)/2))*AP38</f>
        <v>0</v>
      </c>
      <c r="AT38" s="1532"/>
      <c r="BB38" s="419"/>
      <c r="BC38" s="419"/>
      <c r="BD38" s="434"/>
      <c r="BF38" s="1034"/>
      <c r="BG38" s="46"/>
      <c r="BH38" s="19"/>
      <c r="BI38" s="19"/>
      <c r="BJ38" s="19"/>
      <c r="BK38" s="19"/>
      <c r="BL38" s="19"/>
      <c r="BM38" s="19"/>
      <c r="BN38" s="19"/>
      <c r="BO38" s="19"/>
      <c r="BP38" s="19"/>
      <c r="BQ38" s="19"/>
      <c r="BR38" s="20"/>
      <c r="BS38" s="20"/>
      <c r="BT38" s="20"/>
      <c r="BU38" s="20"/>
      <c r="BV38" s="20"/>
      <c r="BW38" s="20"/>
      <c r="BX38" s="20"/>
      <c r="BY38" s="20"/>
      <c r="BZ38" s="20"/>
      <c r="CA38" s="20"/>
      <c r="CB38" s="20"/>
      <c r="CC38" s="20"/>
      <c r="CD38" s="20"/>
      <c r="CE38" s="46"/>
      <c r="CF38" s="122"/>
      <c r="CG38" s="46"/>
      <c r="CH38" s="46"/>
      <c r="CI38" s="46"/>
      <c r="CJ38" s="46"/>
      <c r="CK38" s="46"/>
      <c r="CL38" s="85"/>
      <c r="CM38" s="20"/>
      <c r="CN38" s="20"/>
      <c r="CO38" s="20"/>
      <c r="CP38" s="20"/>
      <c r="CQ38" s="20"/>
      <c r="CR38" s="34"/>
      <c r="CS38" s="20"/>
      <c r="CT38" s="34"/>
      <c r="CU38" s="34"/>
    </row>
    <row r="39" spans="2:99" ht="15" customHeight="1">
      <c r="B39" s="32"/>
      <c r="C39" s="114"/>
      <c r="D39" s="136"/>
      <c r="E39" s="149"/>
      <c r="F39" s="85"/>
      <c r="G39" s="85"/>
      <c r="H39" s="85"/>
      <c r="I39" s="85"/>
      <c r="J39" s="85"/>
      <c r="K39" s="85"/>
      <c r="L39" s="128"/>
      <c r="Q39" s="268" t="s">
        <v>483</v>
      </c>
      <c r="R39" s="415"/>
      <c r="S39" s="415"/>
      <c r="T39" s="667">
        <v>0</v>
      </c>
      <c r="U39" s="445">
        <f>T39*2.3</f>
        <v>0</v>
      </c>
      <c r="X39" s="195"/>
      <c r="AJ39" s="20"/>
      <c r="AK39" s="20"/>
      <c r="AL39" s="142" t="str">
        <f t="shared" si="3"/>
        <v>     Vaquillonas sin servicio</v>
      </c>
      <c r="AM39" s="437">
        <f t="shared" si="4"/>
        <v>0</v>
      </c>
      <c r="AN39" s="453">
        <f t="shared" si="5"/>
        <v>0</v>
      </c>
      <c r="AO39" s="468">
        <f t="shared" si="6"/>
        <v>0</v>
      </c>
      <c r="AP39" s="469">
        <f t="shared" si="7"/>
        <v>0</v>
      </c>
      <c r="AQ39" s="468">
        <f t="shared" si="8"/>
        <v>0</v>
      </c>
      <c r="AR39" s="470">
        <f t="shared" si="9"/>
        <v>0</v>
      </c>
      <c r="AS39" s="468">
        <f>IF(AP10=0,AS10*AP39,IF(AS10=0,AP10*AP39,(AS10+AP10)/2))*AP39</f>
        <v>0</v>
      </c>
      <c r="AT39" s="1532"/>
      <c r="BB39" s="419"/>
      <c r="BC39" s="419"/>
      <c r="BD39" s="434"/>
      <c r="BF39" s="1034"/>
      <c r="BG39" s="1034"/>
      <c r="BH39" s="19"/>
      <c r="BI39" s="19"/>
      <c r="BJ39" s="19"/>
      <c r="BK39" s="19"/>
      <c r="BL39" s="19"/>
      <c r="BM39" s="19"/>
      <c r="BN39" s="19"/>
      <c r="BO39" s="19"/>
      <c r="BP39" s="19"/>
      <c r="BQ39" s="19"/>
      <c r="BR39" s="20"/>
      <c r="BS39" s="20"/>
      <c r="BT39" s="20"/>
      <c r="BU39" s="20"/>
      <c r="BV39" s="20"/>
      <c r="BW39" s="20"/>
      <c r="BX39" s="20"/>
      <c r="BY39" s="20"/>
      <c r="BZ39" s="20"/>
      <c r="CA39" s="20"/>
      <c r="CB39" s="20"/>
      <c r="CC39" s="20"/>
      <c r="CD39" s="20"/>
      <c r="CE39" s="46"/>
      <c r="CF39" s="122"/>
      <c r="CG39" s="46"/>
      <c r="CH39" s="46"/>
      <c r="CI39" s="46"/>
      <c r="CJ39" s="46"/>
      <c r="CK39" s="46"/>
      <c r="CL39" s="85"/>
      <c r="CM39" s="20"/>
      <c r="CN39" s="20"/>
      <c r="CO39" s="20"/>
      <c r="CP39" s="20"/>
      <c r="CQ39" s="20"/>
      <c r="CR39" s="34"/>
      <c r="CS39" s="20"/>
      <c r="CT39" s="34"/>
      <c r="CU39" s="34"/>
    </row>
    <row r="40" spans="2:99" ht="15" customHeight="1">
      <c r="B40" s="32" t="s">
        <v>484</v>
      </c>
      <c r="C40" s="152"/>
      <c r="D40" s="153" t="s">
        <v>485</v>
      </c>
      <c r="E40" s="154"/>
      <c r="F40" s="85"/>
      <c r="G40" s="85"/>
      <c r="H40" s="85"/>
      <c r="I40" s="85"/>
      <c r="J40" s="85"/>
      <c r="K40" s="85"/>
      <c r="L40" s="128"/>
      <c r="Q40" s="348" t="s">
        <v>486</v>
      </c>
      <c r="R40" s="349"/>
      <c r="S40" s="349"/>
      <c r="T40" s="349"/>
      <c r="U40" s="440">
        <f>S26+(((U37*3)+(U38)+(T39))/(18.545*365))</f>
        <v>0</v>
      </c>
      <c r="V40" s="1032"/>
      <c r="X40" s="195"/>
      <c r="AJ40" s="20"/>
      <c r="AK40" s="20"/>
      <c r="AL40" s="142" t="str">
        <f t="shared" si="3"/>
        <v>     Terneras &lt; 1 año</v>
      </c>
      <c r="AM40" s="437">
        <f t="shared" si="4"/>
        <v>0</v>
      </c>
      <c r="AN40" s="453">
        <f t="shared" si="5"/>
        <v>0</v>
      </c>
      <c r="AO40" s="468">
        <f t="shared" si="6"/>
        <v>0</v>
      </c>
      <c r="AP40" s="469">
        <f t="shared" si="7"/>
        <v>0</v>
      </c>
      <c r="AQ40" s="468">
        <f t="shared" si="8"/>
        <v>0</v>
      </c>
      <c r="AR40" s="470">
        <f t="shared" si="9"/>
        <v>0</v>
      </c>
      <c r="AS40" s="468">
        <f>IF(AP11=0,AS11*AP40,IF(AS11=0,AP11*AP40,(AS11+AP11)/2))*AP40</f>
        <v>0</v>
      </c>
      <c r="AT40" s="1532"/>
      <c r="BB40" s="419"/>
      <c r="BC40" s="419"/>
      <c r="BD40" s="434"/>
      <c r="BF40" s="1034"/>
      <c r="BG40" s="46"/>
      <c r="BH40" s="19"/>
      <c r="BI40" s="19"/>
      <c r="BJ40" s="19"/>
      <c r="BK40" s="19"/>
      <c r="BL40" s="19"/>
      <c r="BM40" s="19"/>
      <c r="BN40" s="19"/>
      <c r="BO40" s="19"/>
      <c r="BP40" s="19"/>
      <c r="BQ40" s="19"/>
      <c r="BR40" s="20"/>
      <c r="BS40" s="20"/>
      <c r="BT40" s="20"/>
      <c r="BU40" s="20"/>
      <c r="BV40" s="20"/>
      <c r="BW40" s="20"/>
      <c r="BX40" s="20"/>
      <c r="BY40" s="20"/>
      <c r="BZ40" s="20"/>
      <c r="CA40" s="20"/>
      <c r="CB40" s="20"/>
      <c r="CC40" s="20"/>
      <c r="CD40" s="20"/>
      <c r="CE40" s="46"/>
      <c r="CF40" s="85"/>
      <c r="CG40" s="85"/>
      <c r="CH40" s="85"/>
      <c r="CI40" s="85"/>
      <c r="CJ40" s="85"/>
      <c r="CK40" s="85"/>
      <c r="CL40" s="46"/>
      <c r="CM40" s="20"/>
      <c r="CN40" s="20"/>
      <c r="CO40" s="20"/>
      <c r="CP40" s="20"/>
      <c r="CQ40" s="20"/>
      <c r="CR40" s="34"/>
      <c r="CS40" s="20"/>
      <c r="CT40" s="34"/>
      <c r="CU40" s="34"/>
    </row>
    <row r="41" spans="2:99" ht="15" customHeight="1">
      <c r="B41" s="116" t="s">
        <v>487</v>
      </c>
      <c r="C41" s="114"/>
      <c r="D41" s="92" t="s">
        <v>488</v>
      </c>
      <c r="E41" s="95">
        <v>0</v>
      </c>
      <c r="F41" s="85"/>
      <c r="G41" s="85"/>
      <c r="H41" s="85"/>
      <c r="I41" s="85"/>
      <c r="J41" s="85"/>
      <c r="K41" s="85"/>
      <c r="L41" s="128"/>
      <c r="Q41" s="348" t="s">
        <v>489</v>
      </c>
      <c r="R41" s="349"/>
      <c r="S41" s="349"/>
      <c r="T41" s="349"/>
      <c r="U41" s="446">
        <f>U25-U24+(U37*3+U38+U39)</f>
        <v>0</v>
      </c>
      <c r="V41" s="1031"/>
      <c r="X41" s="451"/>
      <c r="AJ41" s="20"/>
      <c r="AK41" s="20"/>
      <c r="AL41" s="142" t="str">
        <f t="shared" si="3"/>
        <v>     Terneros &lt; 1 año</v>
      </c>
      <c r="AM41" s="437">
        <f t="shared" si="4"/>
        <v>0</v>
      </c>
      <c r="AN41" s="453">
        <f t="shared" si="5"/>
        <v>0</v>
      </c>
      <c r="AO41" s="468">
        <f t="shared" si="6"/>
        <v>0</v>
      </c>
      <c r="AP41" s="469">
        <f t="shared" si="7"/>
        <v>0</v>
      </c>
      <c r="AQ41" s="468">
        <f t="shared" si="8"/>
        <v>0</v>
      </c>
      <c r="AR41" s="470">
        <f t="shared" si="9"/>
        <v>0</v>
      </c>
      <c r="AS41" s="468">
        <f>IF(AP12=0,AS12*AP41,IF(AS12=0,AP12*AP41,(AS12+AP12)/2))*AP41</f>
        <v>0</v>
      </c>
      <c r="AT41" s="1532"/>
      <c r="BB41" s="419"/>
      <c r="BC41" s="419"/>
      <c r="BD41" s="434"/>
      <c r="BF41" s="1034"/>
      <c r="BG41" s="46"/>
      <c r="BH41" s="19"/>
      <c r="BI41" s="19"/>
      <c r="BJ41" s="19"/>
      <c r="BK41" s="19"/>
      <c r="BL41" s="19"/>
      <c r="BM41" s="19"/>
      <c r="BN41" s="19"/>
      <c r="BO41" s="19"/>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34"/>
      <c r="CS41" s="20"/>
      <c r="CT41" s="34"/>
      <c r="CU41" s="34"/>
    </row>
    <row r="42" spans="2:99" ht="15" customHeight="1">
      <c r="B42" s="32" t="s">
        <v>417</v>
      </c>
      <c r="C42" s="114"/>
      <c r="D42" s="92" t="s">
        <v>488</v>
      </c>
      <c r="E42" s="95">
        <v>0</v>
      </c>
      <c r="F42" s="85"/>
      <c r="G42" s="85"/>
      <c r="H42" s="85"/>
      <c r="I42" s="85"/>
      <c r="J42" s="85"/>
      <c r="K42" s="85"/>
      <c r="L42" s="128"/>
      <c r="Q42" s="350" t="s">
        <v>490</v>
      </c>
      <c r="R42" s="351"/>
      <c r="S42" s="351"/>
      <c r="T42" s="351"/>
      <c r="U42" s="447">
        <f>IF(S24=0,0,(U40/S24))</f>
        <v>0</v>
      </c>
      <c r="V42" s="1032"/>
      <c r="X42" s="451"/>
      <c r="AJ42" s="20"/>
      <c r="AK42" s="20"/>
      <c r="AL42" s="142" t="str">
        <f t="shared" si="3"/>
        <v>     Equinos</v>
      </c>
      <c r="AM42" s="437">
        <f t="shared" si="4"/>
        <v>0</v>
      </c>
      <c r="AN42" s="453">
        <f t="shared" si="5"/>
        <v>0</v>
      </c>
      <c r="AO42" s="468">
        <f t="shared" si="6"/>
        <v>0</v>
      </c>
      <c r="AP42" s="469">
        <f t="shared" si="7"/>
        <v>0</v>
      </c>
      <c r="AQ42" s="468">
        <f t="shared" si="8"/>
        <v>0</v>
      </c>
      <c r="AR42" s="470">
        <f t="shared" si="9"/>
        <v>0</v>
      </c>
      <c r="AS42" s="468">
        <f>IF(AP13=0,AS13,IF(AS13=0,AP13,(AS13+AP13)/2))</f>
        <v>0</v>
      </c>
      <c r="AT42" s="1532"/>
      <c r="BB42" s="419"/>
      <c r="BC42" s="419"/>
      <c r="BD42" s="434"/>
      <c r="BF42" s="1034"/>
      <c r="BG42" s="46"/>
      <c r="BH42" s="19"/>
      <c r="BI42" s="19"/>
      <c r="BJ42" s="19"/>
      <c r="BK42" s="19"/>
      <c r="BL42" s="19"/>
      <c r="BM42" s="19"/>
      <c r="BN42" s="20"/>
      <c r="BO42" s="20"/>
      <c r="BP42" s="20"/>
      <c r="BQ42" s="20"/>
      <c r="BR42" s="20"/>
      <c r="BS42" s="20"/>
      <c r="BT42" s="20"/>
      <c r="BU42" s="20"/>
      <c r="BV42" s="20"/>
      <c r="BW42" s="20"/>
      <c r="BX42" s="20"/>
      <c r="BY42" s="20"/>
      <c r="BZ42" s="20"/>
      <c r="CA42" s="20"/>
      <c r="CB42" s="20"/>
      <c r="CC42" s="20"/>
      <c r="CD42" s="20"/>
      <c r="CE42" s="19"/>
      <c r="CF42" s="19"/>
      <c r="CG42" s="20"/>
      <c r="CH42" s="20"/>
      <c r="CI42" s="20"/>
      <c r="CJ42" s="20"/>
      <c r="CK42" s="20"/>
      <c r="CL42" s="20"/>
      <c r="CM42" s="20"/>
      <c r="CN42" s="20"/>
      <c r="CO42" s="20"/>
      <c r="CP42" s="20"/>
      <c r="CQ42" s="34"/>
      <c r="CR42" s="34"/>
      <c r="CS42" s="34"/>
      <c r="CT42" s="34"/>
      <c r="CU42" s="34"/>
    </row>
    <row r="43" spans="2:99" ht="15" customHeight="1">
      <c r="B43" s="164" t="s">
        <v>422</v>
      </c>
      <c r="C43" s="114"/>
      <c r="D43" s="92" t="s">
        <v>488</v>
      </c>
      <c r="E43" s="95">
        <v>0</v>
      </c>
      <c r="L43" s="128"/>
      <c r="Q43" s="121" t="s">
        <v>491</v>
      </c>
      <c r="R43" s="416" t="s">
        <v>492</v>
      </c>
      <c r="S43" s="416" t="s">
        <v>493</v>
      </c>
      <c r="T43" s="416" t="s">
        <v>494</v>
      </c>
      <c r="U43" s="108" t="s">
        <v>495</v>
      </c>
      <c r="V43" s="1032"/>
      <c r="X43" s="195"/>
      <c r="Y43" s="1057"/>
      <c r="AJ43" s="20"/>
      <c r="AK43" s="20"/>
      <c r="AL43" s="142" t="str">
        <f t="shared" si="3"/>
        <v>     Toros</v>
      </c>
      <c r="AM43" s="437">
        <f t="shared" si="4"/>
        <v>0</v>
      </c>
      <c r="AN43" s="453">
        <f t="shared" si="5"/>
        <v>0</v>
      </c>
      <c r="AO43" s="468">
        <f t="shared" si="6"/>
        <v>0</v>
      </c>
      <c r="AP43" s="469">
        <f t="shared" si="7"/>
        <v>0</v>
      </c>
      <c r="AQ43" s="468">
        <f t="shared" si="8"/>
        <v>0</v>
      </c>
      <c r="AR43" s="470">
        <f t="shared" si="9"/>
        <v>0</v>
      </c>
      <c r="AS43" s="468">
        <f>IF(AP14=0,AS14,IF(AS14=0,AP14,(AS14+AP14)/2))</f>
        <v>0</v>
      </c>
      <c r="AT43" s="1532"/>
      <c r="BB43" s="419"/>
      <c r="BC43" s="419"/>
      <c r="BD43" s="434"/>
      <c r="BF43" s="1034"/>
      <c r="BG43" s="46"/>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19"/>
      <c r="CG43" s="20"/>
      <c r="CH43" s="20"/>
      <c r="CI43" s="20"/>
      <c r="CJ43" s="20"/>
      <c r="CK43" s="20"/>
      <c r="CL43" s="20"/>
      <c r="CM43" s="20"/>
      <c r="CN43" s="20"/>
      <c r="CO43" s="20"/>
      <c r="CP43" s="20"/>
      <c r="CQ43" s="34"/>
      <c r="CR43" s="34"/>
      <c r="CS43" s="34"/>
      <c r="CT43" s="34"/>
      <c r="CU43" s="34"/>
    </row>
    <row r="44" spans="2:99" ht="15" customHeight="1">
      <c r="B44" s="16"/>
      <c r="C44" s="99"/>
      <c r="D44" s="117"/>
      <c r="E44" s="30"/>
      <c r="F44" s="85"/>
      <c r="G44" s="85"/>
      <c r="H44" s="85"/>
      <c r="I44" s="85"/>
      <c r="J44" s="85"/>
      <c r="K44" s="85"/>
      <c r="L44" s="128"/>
      <c r="Q44" s="109" t="str">
        <f>Q29</f>
        <v>     Vaca ordeño</v>
      </c>
      <c r="R44" s="641">
        <v>0</v>
      </c>
      <c r="S44" s="641">
        <v>0</v>
      </c>
      <c r="T44" s="641">
        <v>0</v>
      </c>
      <c r="U44" s="280">
        <v>0</v>
      </c>
      <c r="V44" s="1032"/>
      <c r="X44" s="195"/>
      <c r="Y44" s="1057"/>
      <c r="AJ44" s="20"/>
      <c r="AK44" s="20"/>
      <c r="AL44" s="183" t="s">
        <v>496</v>
      </c>
      <c r="AM44" s="471">
        <f>SUM(AM35:AM43)</f>
        <v>0</v>
      </c>
      <c r="AN44" s="471">
        <f>SUM(AN35:AN43)</f>
        <v>0</v>
      </c>
      <c r="AO44" s="471">
        <f>SUM(AO35:AO43)</f>
        <v>0</v>
      </c>
      <c r="AP44" s="472"/>
      <c r="AQ44" s="471">
        <f>SUM(AQ35:AQ43)</f>
        <v>0</v>
      </c>
      <c r="AR44" s="473">
        <f>SUM(AR35:AR43)</f>
        <v>0</v>
      </c>
      <c r="AS44" s="474">
        <f>AS36*AN36+AS37*AN37+AS38*AN38+AS39*AN39+AS40*AN40+AS41*AN41+AS42*AN42+AS43*AN43+AS35*AN35</f>
        <v>0</v>
      </c>
      <c r="AT44" s="1532"/>
      <c r="BB44" s="419"/>
      <c r="BC44" s="419"/>
      <c r="BD44" s="434"/>
      <c r="BF44" s="1034"/>
      <c r="BG44" s="46"/>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19"/>
      <c r="CG44" s="20"/>
      <c r="CH44" s="20"/>
      <c r="CI44" s="20"/>
      <c r="CJ44" s="20"/>
      <c r="CK44" s="20"/>
      <c r="CL44" s="20"/>
      <c r="CM44" s="20"/>
      <c r="CN44" s="20"/>
      <c r="CO44" s="20"/>
      <c r="CP44" s="20"/>
      <c r="CQ44" s="20"/>
      <c r="CR44" s="20"/>
      <c r="CS44" s="20"/>
      <c r="CT44" s="34"/>
      <c r="CU44" s="34"/>
    </row>
    <row r="45" spans="2:99" ht="15" customHeight="1">
      <c r="B45" s="12" t="s">
        <v>497</v>
      </c>
      <c r="C45" s="161"/>
      <c r="E45" s="162" t="s">
        <v>498</v>
      </c>
      <c r="F45" s="85"/>
      <c r="G45" s="85"/>
      <c r="H45" s="85"/>
      <c r="I45" s="85"/>
      <c r="J45" s="85"/>
      <c r="K45" s="85"/>
      <c r="L45" s="128"/>
      <c r="Q45" s="109" t="str">
        <f>Q33</f>
        <v>     Vaca seca</v>
      </c>
      <c r="R45" s="641">
        <v>0</v>
      </c>
      <c r="S45" s="641">
        <v>0</v>
      </c>
      <c r="T45" s="641">
        <v>0</v>
      </c>
      <c r="U45" s="280">
        <v>0</v>
      </c>
      <c r="V45" s="1032"/>
      <c r="W45" s="1033"/>
      <c r="X45" s="195"/>
      <c r="Y45" s="1057"/>
      <c r="AJ45" s="20"/>
      <c r="AK45" s="20"/>
      <c r="AL45" s="185" t="str">
        <f aca="true" t="shared" si="10" ref="AL45:AL52">AL16</f>
        <v>2 - INVERNADA PROPIA</v>
      </c>
      <c r="AM45" s="475"/>
      <c r="AN45" s="476"/>
      <c r="AO45" s="477"/>
      <c r="AP45" s="478"/>
      <c r="AQ45" s="478"/>
      <c r="AR45" s="476"/>
      <c r="AS45" s="479"/>
      <c r="AT45" s="1532"/>
      <c r="BB45" s="419"/>
      <c r="BC45" s="419"/>
      <c r="BD45" s="434"/>
      <c r="BF45" s="1034"/>
      <c r="BG45" s="46"/>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19"/>
      <c r="CG45" s="20"/>
      <c r="CH45" s="20"/>
      <c r="CI45" s="20"/>
      <c r="CJ45" s="20"/>
      <c r="CK45" s="20"/>
      <c r="CL45" s="20"/>
      <c r="CM45" s="20"/>
      <c r="CN45" s="20"/>
      <c r="CO45" s="20"/>
      <c r="CP45" s="20"/>
      <c r="CQ45" s="20"/>
      <c r="CR45" s="20"/>
      <c r="CS45" s="20"/>
      <c r="CT45" s="34"/>
      <c r="CU45" s="34"/>
    </row>
    <row r="46" spans="2:99" ht="15" customHeight="1">
      <c r="B46" s="16" t="str">
        <f>B41</f>
        <v>Novillos</v>
      </c>
      <c r="C46" s="99"/>
      <c r="D46" s="117"/>
      <c r="E46" s="95">
        <v>0</v>
      </c>
      <c r="F46" s="85"/>
      <c r="G46" s="85"/>
      <c r="H46" s="85"/>
      <c r="I46" s="85"/>
      <c r="J46" s="85"/>
      <c r="K46" s="85"/>
      <c r="L46" s="128"/>
      <c r="Q46" s="109" t="str">
        <f>Q34</f>
        <v>     Vaquillonas preñadas</v>
      </c>
      <c r="R46" s="641">
        <v>0</v>
      </c>
      <c r="S46" s="641">
        <v>0</v>
      </c>
      <c r="T46" s="641">
        <v>0</v>
      </c>
      <c r="U46" s="280">
        <v>0</v>
      </c>
      <c r="V46" s="1032"/>
      <c r="Y46" s="1057"/>
      <c r="AJ46" s="20"/>
      <c r="AK46" s="20"/>
      <c r="AL46" s="142" t="str">
        <f t="shared" si="10"/>
        <v>Novillos</v>
      </c>
      <c r="AM46" s="437">
        <f aca="true" t="shared" si="11" ref="AM46:AM52">AQ17-AN17</f>
        <v>0</v>
      </c>
      <c r="AN46" s="453">
        <f aca="true" t="shared" si="12" ref="AN46:AN52">+(AQ17+AN17)/2</f>
        <v>0</v>
      </c>
      <c r="AO46" s="468">
        <f aca="true" t="shared" si="13" ref="AO46:AO52">AM17*AN46</f>
        <v>0</v>
      </c>
      <c r="AP46" s="469">
        <f>IF(AO17=0,AR17,IF(AR17=0,AO17,(AO17+AR17)/2))</f>
        <v>0</v>
      </c>
      <c r="AQ46" s="468">
        <f>AP46*AN46</f>
        <v>0</v>
      </c>
      <c r="AR46" s="470">
        <f aca="true" t="shared" si="14" ref="AR46:AR52">(AQ17*AR17)-(AN17*AO17)</f>
        <v>0</v>
      </c>
      <c r="AS46" s="468">
        <f>IF(AP17=0,AS17*AP46,IF(AS17=0,AP17*AP46,(AS17+AP17)/2))*AP46</f>
        <v>0</v>
      </c>
      <c r="AT46" s="1532"/>
      <c r="BB46" s="419"/>
      <c r="BC46" s="419"/>
      <c r="BD46" s="434"/>
      <c r="BF46" s="1034"/>
      <c r="BG46" s="46"/>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19"/>
      <c r="CG46" s="20"/>
      <c r="CH46" s="20"/>
      <c r="CI46" s="20"/>
      <c r="CJ46" s="20"/>
      <c r="CK46" s="20"/>
      <c r="CL46" s="20"/>
      <c r="CM46" s="20"/>
      <c r="CN46" s="20"/>
      <c r="CO46" s="20"/>
      <c r="CP46" s="34"/>
      <c r="CQ46" s="20"/>
      <c r="CR46" s="20"/>
      <c r="CS46" s="20"/>
      <c r="CT46" s="20"/>
      <c r="CU46" s="20"/>
    </row>
    <row r="47" spans="2:93" ht="15" customHeight="1">
      <c r="B47" s="16" t="str">
        <f>B42</f>
        <v>Vaquillonas</v>
      </c>
      <c r="C47" s="99"/>
      <c r="D47" s="117"/>
      <c r="E47" s="95">
        <v>0</v>
      </c>
      <c r="F47" s="85"/>
      <c r="G47" s="85"/>
      <c r="H47" s="85"/>
      <c r="I47" s="85"/>
      <c r="J47" s="85"/>
      <c r="K47" s="85"/>
      <c r="L47" s="128"/>
      <c r="M47" s="129"/>
      <c r="Q47" s="109" t="str">
        <f>Q35</f>
        <v>     Terneros/as &lt; 1 año</v>
      </c>
      <c r="R47" s="641">
        <v>0</v>
      </c>
      <c r="S47" s="641">
        <v>0</v>
      </c>
      <c r="T47" s="641">
        <v>0</v>
      </c>
      <c r="U47" s="280">
        <v>0</v>
      </c>
      <c r="V47" s="1032"/>
      <c r="Y47" s="1057"/>
      <c r="AJ47" s="20"/>
      <c r="AK47" s="20"/>
      <c r="AL47" s="142" t="str">
        <f t="shared" si="10"/>
        <v>Novillitos</v>
      </c>
      <c r="AM47" s="437">
        <f t="shared" si="11"/>
        <v>0</v>
      </c>
      <c r="AN47" s="453">
        <f t="shared" si="12"/>
        <v>0</v>
      </c>
      <c r="AO47" s="468">
        <f t="shared" si="13"/>
        <v>0</v>
      </c>
      <c r="AP47" s="469">
        <f aca="true" t="shared" si="15" ref="AP47:AP52">IF(AO18=0,AR18,IF(AR18=0,AO18,(AO18+AR18)/2))</f>
        <v>0</v>
      </c>
      <c r="AQ47" s="468">
        <f aca="true" t="shared" si="16" ref="AQ47:AQ52">AP47*AN47</f>
        <v>0</v>
      </c>
      <c r="AR47" s="470">
        <f t="shared" si="14"/>
        <v>0</v>
      </c>
      <c r="AS47" s="468">
        <f aca="true" t="shared" si="17" ref="AS47:AS52">IF(AP18=0,AS18*AP47,IF(AS18=0,AP18*AP47,(AS18+AP18)/2))*AP47</f>
        <v>0</v>
      </c>
      <c r="AT47" s="1532"/>
      <c r="BB47" s="419"/>
      <c r="BC47" s="419"/>
      <c r="BD47" s="434"/>
      <c r="BF47" s="1034"/>
      <c r="BG47" s="1034"/>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19"/>
      <c r="CG47" s="20"/>
      <c r="CH47" s="20"/>
      <c r="CI47" s="20"/>
      <c r="CJ47" s="20"/>
      <c r="CK47" s="20"/>
      <c r="CL47" s="20"/>
      <c r="CM47" s="20"/>
      <c r="CN47" s="20"/>
      <c r="CO47" s="20"/>
    </row>
    <row r="48" spans="2:93" ht="15" customHeight="1">
      <c r="B48" s="417" t="str">
        <f>B43</f>
        <v>Vacas</v>
      </c>
      <c r="C48" s="99"/>
      <c r="D48" s="117"/>
      <c r="E48" s="95">
        <v>0</v>
      </c>
      <c r="F48" s="85"/>
      <c r="G48" s="85"/>
      <c r="H48" s="85"/>
      <c r="I48" s="85"/>
      <c r="J48" s="85"/>
      <c r="K48" s="85"/>
      <c r="L48" s="128"/>
      <c r="Q48" s="109" t="str">
        <f>Q37</f>
        <v>Total concentrados (kg)</v>
      </c>
      <c r="R48" s="641">
        <v>0</v>
      </c>
      <c r="S48" s="641">
        <v>0</v>
      </c>
      <c r="T48" s="641">
        <v>0</v>
      </c>
      <c r="U48" s="280">
        <v>0</v>
      </c>
      <c r="V48" s="1032"/>
      <c r="Y48" s="1057"/>
      <c r="AJ48" s="20"/>
      <c r="AK48" s="20"/>
      <c r="AL48" s="142" t="str">
        <f t="shared" si="10"/>
        <v>Terneros</v>
      </c>
      <c r="AM48" s="437">
        <f t="shared" si="11"/>
        <v>0</v>
      </c>
      <c r="AN48" s="453">
        <f t="shared" si="12"/>
        <v>0</v>
      </c>
      <c r="AO48" s="468">
        <f t="shared" si="13"/>
        <v>0</v>
      </c>
      <c r="AP48" s="469">
        <f t="shared" si="15"/>
        <v>0</v>
      </c>
      <c r="AQ48" s="468">
        <f t="shared" si="16"/>
        <v>0</v>
      </c>
      <c r="AR48" s="470">
        <f t="shared" si="14"/>
        <v>0</v>
      </c>
      <c r="AS48" s="468">
        <f t="shared" si="17"/>
        <v>0</v>
      </c>
      <c r="AT48" s="1532"/>
      <c r="BB48" s="419"/>
      <c r="BC48" s="419"/>
      <c r="BD48" s="434"/>
      <c r="BF48" s="1034"/>
      <c r="BG48" s="46"/>
      <c r="BH48" s="19"/>
      <c r="BI48" s="19"/>
      <c r="BJ48" s="19"/>
      <c r="BK48" s="19"/>
      <c r="BL48" s="19"/>
      <c r="BM48" s="19"/>
      <c r="BN48" s="19"/>
      <c r="BO48" s="19"/>
      <c r="BP48" s="19"/>
      <c r="BQ48" s="19"/>
      <c r="BR48" s="20"/>
      <c r="BS48" s="20"/>
      <c r="BT48" s="20"/>
      <c r="BU48" s="20"/>
      <c r="BV48" s="20"/>
      <c r="BW48" s="20"/>
      <c r="BX48" s="20"/>
      <c r="BY48" s="20"/>
      <c r="BZ48" s="20"/>
      <c r="CA48" s="20"/>
      <c r="CB48" s="20"/>
      <c r="CC48" s="20"/>
      <c r="CD48" s="20"/>
      <c r="CE48" s="20"/>
      <c r="CF48" s="19"/>
      <c r="CG48" s="20"/>
      <c r="CH48" s="20"/>
      <c r="CI48" s="20"/>
      <c r="CJ48" s="20"/>
      <c r="CK48" s="20"/>
      <c r="CL48" s="20"/>
      <c r="CM48" s="20"/>
      <c r="CN48" s="20"/>
      <c r="CO48" s="20"/>
    </row>
    <row r="49" spans="2:93" ht="15" customHeight="1">
      <c r="B49" s="48"/>
      <c r="C49" s="99"/>
      <c r="D49" s="117"/>
      <c r="E49" s="95"/>
      <c r="F49" s="85"/>
      <c r="G49" s="85"/>
      <c r="H49" s="85"/>
      <c r="I49" s="85"/>
      <c r="J49" s="85"/>
      <c r="K49" s="85"/>
      <c r="L49" s="128"/>
      <c r="Q49" s="132" t="s">
        <v>499</v>
      </c>
      <c r="R49" s="641">
        <v>0</v>
      </c>
      <c r="S49" s="641">
        <v>0</v>
      </c>
      <c r="T49" s="641">
        <v>0</v>
      </c>
      <c r="U49" s="280">
        <v>0</v>
      </c>
      <c r="V49" s="1032"/>
      <c r="X49" s="133"/>
      <c r="Y49" s="1057"/>
      <c r="AJ49" s="20"/>
      <c r="AK49" s="20"/>
      <c r="AL49" s="142" t="str">
        <f t="shared" si="10"/>
        <v>Vaquillonas</v>
      </c>
      <c r="AM49" s="437">
        <f t="shared" si="11"/>
        <v>0</v>
      </c>
      <c r="AN49" s="453">
        <f t="shared" si="12"/>
        <v>0</v>
      </c>
      <c r="AO49" s="468">
        <f t="shared" si="13"/>
        <v>0</v>
      </c>
      <c r="AP49" s="469">
        <f t="shared" si="15"/>
        <v>0</v>
      </c>
      <c r="AQ49" s="468">
        <f t="shared" si="16"/>
        <v>0</v>
      </c>
      <c r="AR49" s="470">
        <f t="shared" si="14"/>
        <v>0</v>
      </c>
      <c r="AS49" s="468">
        <f t="shared" si="17"/>
        <v>0</v>
      </c>
      <c r="AT49" s="1532"/>
      <c r="BB49" s="419"/>
      <c r="BC49" s="419"/>
      <c r="BD49" s="434"/>
      <c r="BF49" s="1034"/>
      <c r="BG49" s="1034"/>
      <c r="BH49" s="19"/>
      <c r="BI49" s="19"/>
      <c r="BJ49" s="19"/>
      <c r="BK49" s="19"/>
      <c r="BL49" s="19"/>
      <c r="BM49" s="19"/>
      <c r="BN49" s="19"/>
      <c r="BO49" s="19"/>
      <c r="BP49" s="19"/>
      <c r="BQ49" s="19"/>
      <c r="BR49" s="20"/>
      <c r="BS49" s="20"/>
      <c r="BT49" s="20"/>
      <c r="BU49" s="20"/>
      <c r="BV49" s="20"/>
      <c r="BW49" s="20"/>
      <c r="BX49" s="20"/>
      <c r="BY49" s="20"/>
      <c r="BZ49" s="20"/>
      <c r="CA49" s="20"/>
      <c r="CB49" s="20"/>
      <c r="CC49" s="20"/>
      <c r="CD49" s="20"/>
      <c r="CE49" s="19"/>
      <c r="CF49" s="19"/>
      <c r="CG49" s="20"/>
      <c r="CH49" s="20"/>
      <c r="CI49" s="20"/>
      <c r="CJ49" s="20"/>
      <c r="CK49" s="20"/>
      <c r="CL49" s="20"/>
      <c r="CM49" s="20"/>
      <c r="CN49" s="20"/>
      <c r="CO49" s="20"/>
    </row>
    <row r="50" spans="2:93" ht="15" customHeight="1">
      <c r="B50" s="16" t="s">
        <v>500</v>
      </c>
      <c r="C50" s="166"/>
      <c r="D50" s="117"/>
      <c r="E50" s="162" t="s">
        <v>498</v>
      </c>
      <c r="F50" s="85"/>
      <c r="G50" s="85"/>
      <c r="H50" s="85"/>
      <c r="I50" s="85"/>
      <c r="J50" s="85"/>
      <c r="K50" s="85"/>
      <c r="L50" s="128"/>
      <c r="Q50" s="77" t="s">
        <v>501</v>
      </c>
      <c r="R50" s="434">
        <f>SUM(R44:R49)</f>
        <v>0</v>
      </c>
      <c r="S50" s="434">
        <f>SUM(S44:S49)</f>
        <v>0</v>
      </c>
      <c r="T50" s="434">
        <f>SUM(T44:T49)</f>
        <v>0</v>
      </c>
      <c r="U50" s="422">
        <f>SUM(U44:U49)</f>
        <v>0</v>
      </c>
      <c r="V50" s="1032"/>
      <c r="X50" s="133"/>
      <c r="Y50" s="1057"/>
      <c r="AJ50" s="20"/>
      <c r="AK50" s="20"/>
      <c r="AL50" s="142" t="str">
        <f t="shared" si="10"/>
        <v>Vacas</v>
      </c>
      <c r="AM50" s="437">
        <f t="shared" si="11"/>
        <v>0</v>
      </c>
      <c r="AN50" s="453">
        <f t="shared" si="12"/>
        <v>0</v>
      </c>
      <c r="AO50" s="468">
        <f t="shared" si="13"/>
        <v>0</v>
      </c>
      <c r="AP50" s="469">
        <f t="shared" si="15"/>
        <v>0</v>
      </c>
      <c r="AQ50" s="468">
        <f t="shared" si="16"/>
        <v>0</v>
      </c>
      <c r="AR50" s="470">
        <f t="shared" si="14"/>
        <v>0</v>
      </c>
      <c r="AS50" s="468">
        <f t="shared" si="17"/>
        <v>0</v>
      </c>
      <c r="AT50" s="1532"/>
      <c r="BB50" s="419"/>
      <c r="BC50" s="419"/>
      <c r="BD50" s="434"/>
      <c r="BF50" s="46"/>
      <c r="BG50" s="46"/>
      <c r="BH50" s="19"/>
      <c r="BI50" s="19"/>
      <c r="BJ50" s="19"/>
      <c r="BK50" s="19"/>
      <c r="BL50" s="19"/>
      <c r="BM50" s="19"/>
      <c r="BN50" s="19"/>
      <c r="BO50" s="19"/>
      <c r="BP50" s="19"/>
      <c r="BQ50" s="19"/>
      <c r="BR50" s="20"/>
      <c r="BS50" s="20"/>
      <c r="BT50" s="20"/>
      <c r="BU50" s="20"/>
      <c r="BV50" s="20"/>
      <c r="BW50" s="20"/>
      <c r="BX50" s="20"/>
      <c r="BY50" s="20"/>
      <c r="BZ50" s="20"/>
      <c r="CA50" s="20"/>
      <c r="CB50" s="20"/>
      <c r="CC50" s="20"/>
      <c r="CD50" s="20"/>
      <c r="CE50" s="20"/>
      <c r="CF50" s="19"/>
      <c r="CG50" s="20"/>
      <c r="CH50" s="20"/>
      <c r="CI50" s="20"/>
      <c r="CJ50" s="20"/>
      <c r="CK50" s="20"/>
      <c r="CL50" s="20"/>
      <c r="CM50" s="20"/>
      <c r="CN50" s="20"/>
      <c r="CO50" s="20"/>
    </row>
    <row r="51" spans="2:93" ht="15" customHeight="1">
      <c r="B51" s="16" t="str">
        <f>B41</f>
        <v>Novillos</v>
      </c>
      <c r="C51" s="99"/>
      <c r="D51" s="29"/>
      <c r="E51" s="95">
        <v>0</v>
      </c>
      <c r="F51" s="85"/>
      <c r="G51" s="85"/>
      <c r="H51" s="85"/>
      <c r="I51" s="85"/>
      <c r="J51" s="85"/>
      <c r="K51" s="85"/>
      <c r="L51" s="128"/>
      <c r="Q51" s="121" t="s">
        <v>502</v>
      </c>
      <c r="R51" s="105"/>
      <c r="S51" s="105"/>
      <c r="T51" s="105"/>
      <c r="U51" s="435">
        <f>R17+R18+R19</f>
        <v>0</v>
      </c>
      <c r="V51" s="1032"/>
      <c r="X51" s="133"/>
      <c r="Y51" s="1057"/>
      <c r="AJ51" s="20"/>
      <c r="AK51" s="20"/>
      <c r="AL51" s="188" t="str">
        <f t="shared" si="10"/>
        <v>Equinos</v>
      </c>
      <c r="AM51" s="437">
        <f t="shared" si="11"/>
        <v>0</v>
      </c>
      <c r="AN51" s="453">
        <f t="shared" si="12"/>
        <v>0</v>
      </c>
      <c r="AO51" s="468">
        <f t="shared" si="13"/>
        <v>0</v>
      </c>
      <c r="AP51" s="469">
        <f t="shared" si="15"/>
        <v>0</v>
      </c>
      <c r="AQ51" s="468">
        <f t="shared" si="16"/>
        <v>0</v>
      </c>
      <c r="AR51" s="470">
        <f t="shared" si="14"/>
        <v>0</v>
      </c>
      <c r="AS51" s="468">
        <f>IF(AP22=0,AS22,IF(AS22=0,AP22,(AS22+AP22)/2))</f>
        <v>0</v>
      </c>
      <c r="AT51" s="1532"/>
      <c r="BB51" s="419"/>
      <c r="BC51" s="419"/>
      <c r="BD51" s="434"/>
      <c r="BF51" s="82"/>
      <c r="BG51" s="46"/>
      <c r="BH51" s="19"/>
      <c r="BI51" s="19"/>
      <c r="BJ51" s="19"/>
      <c r="BK51" s="19"/>
      <c r="BL51" s="19"/>
      <c r="BM51" s="19"/>
      <c r="BN51" s="19"/>
      <c r="BO51" s="19"/>
      <c r="BP51" s="19"/>
      <c r="BQ51" s="19"/>
      <c r="BR51" s="20"/>
      <c r="BS51" s="20"/>
      <c r="BT51" s="20"/>
      <c r="BU51" s="20"/>
      <c r="BV51" s="20"/>
      <c r="BW51" s="20"/>
      <c r="BX51" s="20"/>
      <c r="BY51" s="20"/>
      <c r="BZ51" s="20"/>
      <c r="CA51" s="20"/>
      <c r="CB51" s="20"/>
      <c r="CC51" s="20"/>
      <c r="CD51" s="20"/>
      <c r="CE51" s="20"/>
      <c r="CF51" s="20"/>
      <c r="CG51" s="19"/>
      <c r="CH51" s="20"/>
      <c r="CI51" s="20"/>
      <c r="CJ51" s="20"/>
      <c r="CK51" s="20"/>
      <c r="CL51" s="20"/>
      <c r="CM51" s="20"/>
      <c r="CN51" s="20"/>
      <c r="CO51" s="20"/>
    </row>
    <row r="52" spans="2:93" ht="15" customHeight="1">
      <c r="B52" s="16" t="str">
        <f>B42</f>
        <v>Vaquillonas</v>
      </c>
      <c r="C52" s="99"/>
      <c r="D52" s="29"/>
      <c r="E52" s="95">
        <v>0</v>
      </c>
      <c r="F52" s="85"/>
      <c r="G52" s="85"/>
      <c r="H52" s="85"/>
      <c r="I52" s="85"/>
      <c r="J52" s="85"/>
      <c r="K52" s="85"/>
      <c r="L52" s="128"/>
      <c r="Q52" s="121" t="s">
        <v>503</v>
      </c>
      <c r="R52" s="105"/>
      <c r="S52" s="105"/>
      <c r="T52" s="105"/>
      <c r="U52" s="108" t="s">
        <v>504</v>
      </c>
      <c r="V52" s="1032"/>
      <c r="X52" s="133"/>
      <c r="Y52" s="1057"/>
      <c r="AJ52" s="20"/>
      <c r="AK52" s="20"/>
      <c r="AL52" s="188" t="str">
        <f t="shared" si="10"/>
        <v>................</v>
      </c>
      <c r="AM52" s="437">
        <f t="shared" si="11"/>
        <v>0</v>
      </c>
      <c r="AN52" s="453">
        <f t="shared" si="12"/>
        <v>0</v>
      </c>
      <c r="AO52" s="468">
        <f t="shared" si="13"/>
        <v>0</v>
      </c>
      <c r="AP52" s="469">
        <f t="shared" si="15"/>
        <v>0</v>
      </c>
      <c r="AQ52" s="468">
        <f t="shared" si="16"/>
        <v>0</v>
      </c>
      <c r="AR52" s="470">
        <f t="shared" si="14"/>
        <v>0</v>
      </c>
      <c r="AS52" s="468">
        <f t="shared" si="17"/>
        <v>0</v>
      </c>
      <c r="AT52" s="1532"/>
      <c r="BB52" s="419"/>
      <c r="BC52" s="419"/>
      <c r="BD52" s="434"/>
      <c r="BF52" s="1034"/>
      <c r="BG52" s="1034"/>
      <c r="BH52" s="19"/>
      <c r="BI52" s="19"/>
      <c r="BJ52" s="19"/>
      <c r="BK52" s="19"/>
      <c r="BL52" s="19"/>
      <c r="BM52" s="19"/>
      <c r="BN52" s="19"/>
      <c r="BO52" s="19"/>
      <c r="BP52" s="20"/>
      <c r="BQ52" s="20"/>
      <c r="BR52" s="20"/>
      <c r="BS52" s="20"/>
      <c r="BT52" s="20"/>
      <c r="BU52" s="20"/>
      <c r="BV52" s="20"/>
      <c r="BW52" s="20"/>
      <c r="BX52" s="20"/>
      <c r="BY52" s="20"/>
      <c r="BZ52" s="20"/>
      <c r="CA52" s="20"/>
      <c r="CB52" s="20"/>
      <c r="CC52" s="20"/>
      <c r="CD52" s="20"/>
      <c r="CE52" s="20"/>
      <c r="CF52" s="20"/>
      <c r="CG52" s="19"/>
      <c r="CH52" s="20"/>
      <c r="CI52" s="20"/>
      <c r="CJ52" s="20"/>
      <c r="CK52" s="20"/>
      <c r="CL52" s="20"/>
      <c r="CM52" s="20"/>
      <c r="CN52" s="20"/>
      <c r="CO52" s="20"/>
    </row>
    <row r="53" spans="2:93" ht="15" customHeight="1">
      <c r="B53" s="16" t="str">
        <f>B43</f>
        <v>Vacas</v>
      </c>
      <c r="C53" s="99"/>
      <c r="D53" s="29"/>
      <c r="E53" s="95">
        <v>0</v>
      </c>
      <c r="F53" s="85"/>
      <c r="G53" s="85"/>
      <c r="H53" s="85"/>
      <c r="I53" s="85"/>
      <c r="J53" s="85"/>
      <c r="K53" s="85"/>
      <c r="L53" s="128"/>
      <c r="Q53" s="77" t="s">
        <v>505</v>
      </c>
      <c r="T53" s="81" t="s">
        <v>506</v>
      </c>
      <c r="U53" s="422">
        <f>T50</f>
        <v>0</v>
      </c>
      <c r="V53" s="1032"/>
      <c r="X53" s="133"/>
      <c r="Y53" s="1058"/>
      <c r="AJ53" s="20"/>
      <c r="AK53" s="20"/>
      <c r="AL53" s="189" t="s">
        <v>507</v>
      </c>
      <c r="AM53" s="480">
        <f>SUM(AM46:AM52)</f>
        <v>0</v>
      </c>
      <c r="AN53" s="480">
        <f>SUM(AN46:AN52)</f>
        <v>0</v>
      </c>
      <c r="AO53" s="480">
        <f>SUM(AO46:AO52)</f>
        <v>0</v>
      </c>
      <c r="AP53" s="480"/>
      <c r="AQ53" s="480">
        <f>SUM(AQ46:AQ52)</f>
        <v>0</v>
      </c>
      <c r="AR53" s="480">
        <f>SUM(AR46:AR52)</f>
        <v>0</v>
      </c>
      <c r="AS53" s="471">
        <f>AS46*AN46+AS47*AN47+AS48*AN48+AS49*AN49+AS50*AN50+AS51*AN51+AS52*AN52</f>
        <v>0</v>
      </c>
      <c r="AT53" s="1532"/>
      <c r="AU53" s="1028"/>
      <c r="AV53" s="1028"/>
      <c r="BB53" s="419"/>
      <c r="BC53" s="419"/>
      <c r="BD53" s="434"/>
      <c r="BF53" s="1034"/>
      <c r="BG53" s="1034"/>
      <c r="BH53" s="19"/>
      <c r="BI53" s="19"/>
      <c r="BJ53" s="19"/>
      <c r="BK53" s="19"/>
      <c r="BL53" s="19"/>
      <c r="BM53" s="19"/>
      <c r="BN53" s="20"/>
      <c r="BO53" s="20"/>
      <c r="BP53" s="20"/>
      <c r="BQ53" s="20"/>
      <c r="BR53" s="20"/>
      <c r="BS53" s="20"/>
      <c r="BT53" s="20"/>
      <c r="BU53" s="20"/>
      <c r="BV53" s="20"/>
      <c r="BW53" s="20"/>
      <c r="BX53" s="20"/>
      <c r="BY53" s="20"/>
      <c r="BZ53" s="20"/>
      <c r="CA53" s="20"/>
      <c r="CB53" s="20"/>
      <c r="CC53" s="20"/>
      <c r="CD53" s="20"/>
      <c r="CE53" s="20"/>
      <c r="CF53" s="20"/>
      <c r="CG53" s="19"/>
      <c r="CH53" s="20"/>
      <c r="CI53" s="20"/>
      <c r="CJ53" s="20"/>
      <c r="CK53" s="20"/>
      <c r="CL53" s="20"/>
      <c r="CM53" s="20"/>
      <c r="CN53" s="20"/>
      <c r="CO53" s="20"/>
    </row>
    <row r="54" spans="2:93" ht="15" customHeight="1">
      <c r="B54" s="167"/>
      <c r="C54" s="168"/>
      <c r="D54" s="169"/>
      <c r="E54" s="170"/>
      <c r="F54" s="85"/>
      <c r="G54" s="85"/>
      <c r="H54" s="85"/>
      <c r="I54" s="85"/>
      <c r="J54" s="85"/>
      <c r="K54" s="85"/>
      <c r="L54" s="128"/>
      <c r="Q54" s="77" t="s">
        <v>508</v>
      </c>
      <c r="T54" s="81" t="s">
        <v>506</v>
      </c>
      <c r="U54" s="422">
        <f>U50</f>
        <v>0</v>
      </c>
      <c r="V54" s="1032"/>
      <c r="X54" s="133"/>
      <c r="Y54" s="1057"/>
      <c r="AJ54" s="20"/>
      <c r="AK54" s="20"/>
      <c r="AL54" s="186" t="str">
        <f>AL25</f>
        <v>3 - INVERNADA TOMADA EN CAPITALIZACION</v>
      </c>
      <c r="AM54" s="476"/>
      <c r="AN54" s="476"/>
      <c r="AO54" s="476"/>
      <c r="AP54" s="420"/>
      <c r="AQ54" s="420"/>
      <c r="AR54" s="476"/>
      <c r="AS54" s="482"/>
      <c r="AT54" s="1028"/>
      <c r="AU54" s="1028"/>
      <c r="AV54" s="1028"/>
      <c r="BB54" s="419"/>
      <c r="BC54" s="419"/>
      <c r="BD54" s="434"/>
      <c r="BF54" s="1034"/>
      <c r="BG54" s="46"/>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19"/>
      <c r="CG54" s="20"/>
      <c r="CH54" s="20"/>
      <c r="CI54" s="20"/>
      <c r="CJ54" s="20"/>
      <c r="CK54" s="20"/>
      <c r="CL54" s="20"/>
      <c r="CM54" s="20"/>
      <c r="CN54" s="20"/>
      <c r="CO54" s="20"/>
    </row>
    <row r="55" spans="6:93" ht="15" customHeight="1">
      <c r="F55" s="85"/>
      <c r="G55" s="85"/>
      <c r="H55" s="85"/>
      <c r="I55" s="85"/>
      <c r="J55" s="85"/>
      <c r="K55" s="85"/>
      <c r="L55" s="29"/>
      <c r="Q55" s="268" t="s">
        <v>509</v>
      </c>
      <c r="R55" s="168"/>
      <c r="S55" s="168"/>
      <c r="T55" s="135" t="s">
        <v>419</v>
      </c>
      <c r="U55" s="436">
        <f>IF((SUM(V4:V8))=0,0,+U54*650/SUM(V4:V8))</f>
        <v>0</v>
      </c>
      <c r="V55" s="1032"/>
      <c r="X55" s="133"/>
      <c r="Y55" s="1057"/>
      <c r="Z55" s="955" t="s">
        <v>510</v>
      </c>
      <c r="AA55" s="242"/>
      <c r="AB55" s="1187"/>
      <c r="AC55" s="282"/>
      <c r="AD55" s="122"/>
      <c r="AE55" s="85"/>
      <c r="AF55" s="85"/>
      <c r="AL55" s="142" t="str">
        <f>B41</f>
        <v>Novillos</v>
      </c>
      <c r="AM55" s="437">
        <f>AQ26-AN26</f>
        <v>0</v>
      </c>
      <c r="AN55" s="453">
        <f>+(AQ26+AN26)/2</f>
        <v>0</v>
      </c>
      <c r="AO55" s="468">
        <f>AM26*AN55</f>
        <v>0</v>
      </c>
      <c r="AP55" s="483">
        <f>IF(AO26=0,AR26,IF(AR26=0,AO26,(AO26+AR26)/2))</f>
        <v>0</v>
      </c>
      <c r="AQ55" s="468">
        <f>AP55*AN55</f>
        <v>0</v>
      </c>
      <c r="AR55" s="470">
        <f>(AQ26*AR26)-(AN26*AO26)</f>
        <v>0</v>
      </c>
      <c r="AS55" s="484"/>
      <c r="AT55" s="1028"/>
      <c r="BD55" s="434"/>
      <c r="BF55" s="46"/>
      <c r="BG55" s="1034"/>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19"/>
      <c r="CH55" s="20"/>
      <c r="CI55" s="20"/>
      <c r="CJ55" s="20"/>
      <c r="CK55" s="20"/>
      <c r="CL55" s="20"/>
      <c r="CM55" s="20"/>
      <c r="CN55" s="20"/>
      <c r="CO55" s="20"/>
    </row>
    <row r="56" spans="6:93" ht="15" customHeight="1">
      <c r="F56" s="85"/>
      <c r="G56" s="85"/>
      <c r="H56" s="85"/>
      <c r="I56" s="85"/>
      <c r="J56" s="85"/>
      <c r="K56" s="85"/>
      <c r="L56" s="29"/>
      <c r="Y56" s="1057"/>
      <c r="Z56" s="320"/>
      <c r="AA56" s="340"/>
      <c r="AB56" s="1188"/>
      <c r="AC56" s="304"/>
      <c r="AD56" s="1645" t="s">
        <v>329</v>
      </c>
      <c r="AE56" s="1646"/>
      <c r="AF56" s="1645" t="s">
        <v>330</v>
      </c>
      <c r="AG56" s="1646"/>
      <c r="AL56" s="142" t="str">
        <f>B42</f>
        <v>Vaquillonas</v>
      </c>
      <c r="AM56" s="437">
        <f>AQ27-AN27</f>
        <v>0</v>
      </c>
      <c r="AN56" s="453">
        <f>+(AQ27+AN27)/2</f>
        <v>0</v>
      </c>
      <c r="AO56" s="468">
        <f>AM27*AN56</f>
        <v>0</v>
      </c>
      <c r="AP56" s="469">
        <f>IF(AO27=0,AR27,IF(AR27=0,AO27,(AO27+AR27)/2))</f>
        <v>0</v>
      </c>
      <c r="AQ56" s="468">
        <f>AP56*AN56</f>
        <v>0</v>
      </c>
      <c r="AR56" s="470">
        <f>(AQ27*AR27)-(AN27*AO27)</f>
        <v>0</v>
      </c>
      <c r="AS56" s="484"/>
      <c r="AT56" s="1137"/>
      <c r="BD56" s="434"/>
      <c r="BG56" s="1034"/>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19"/>
      <c r="CH56" s="20"/>
      <c r="CI56" s="20"/>
      <c r="CJ56" s="20"/>
      <c r="CK56" s="20"/>
      <c r="CL56" s="20"/>
      <c r="CM56" s="20"/>
      <c r="CN56" s="20"/>
      <c r="CO56" s="20"/>
    </row>
    <row r="57" spans="6:93" ht="15" customHeight="1">
      <c r="F57" s="85"/>
      <c r="G57" s="85"/>
      <c r="H57" s="85"/>
      <c r="I57" s="85"/>
      <c r="J57" s="85"/>
      <c r="K57" s="85"/>
      <c r="L57" s="29"/>
      <c r="Y57" s="1144"/>
      <c r="Z57" s="1266"/>
      <c r="AA57" s="351"/>
      <c r="AB57" s="1189"/>
      <c r="AC57" s="956" t="s">
        <v>511</v>
      </c>
      <c r="AD57" s="317" t="s">
        <v>512</v>
      </c>
      <c r="AE57" s="957" t="s">
        <v>513</v>
      </c>
      <c r="AF57" s="317" t="s">
        <v>512</v>
      </c>
      <c r="AG57" s="957" t="s">
        <v>7</v>
      </c>
      <c r="AL57" s="142" t="str">
        <f>B43</f>
        <v>Vacas</v>
      </c>
      <c r="AM57" s="437">
        <f>AQ28-AN28</f>
        <v>0</v>
      </c>
      <c r="AN57" s="453">
        <f>+(AQ28+AN28)/2</f>
        <v>0</v>
      </c>
      <c r="AO57" s="468">
        <f>AM28*AN57</f>
        <v>0</v>
      </c>
      <c r="AP57" s="485">
        <f>IF(AO28=0,AR28,IF(AR28=0,AO28,(AO28+AR28)/2))</f>
        <v>0</v>
      </c>
      <c r="AQ57" s="468">
        <f>AP57*AN57</f>
        <v>0</v>
      </c>
      <c r="AR57" s="470">
        <f>(AQ28*AR28)-(AN28*AO28)</f>
        <v>0</v>
      </c>
      <c r="AS57" s="484"/>
      <c r="AT57" s="1137"/>
      <c r="BD57" s="434"/>
      <c r="BG57" s="1034"/>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19"/>
      <c r="CH57" s="20"/>
      <c r="CI57" s="20"/>
      <c r="CJ57" s="20"/>
      <c r="CK57" s="20"/>
      <c r="CL57" s="20"/>
      <c r="CM57" s="20"/>
      <c r="CN57" s="20"/>
      <c r="CO57" s="20"/>
    </row>
    <row r="58" spans="6:93" ht="15" customHeight="1">
      <c r="F58" s="9"/>
      <c r="G58" s="9"/>
      <c r="H58" s="9"/>
      <c r="I58" s="9"/>
      <c r="J58" s="9"/>
      <c r="K58" s="9"/>
      <c r="L58" s="9"/>
      <c r="Y58" s="1145"/>
      <c r="Z58" s="1264" t="s">
        <v>514</v>
      </c>
      <c r="AA58" s="99"/>
      <c r="AB58" s="1190"/>
      <c r="AC58" s="139"/>
      <c r="AD58" s="1284"/>
      <c r="AE58" s="1279"/>
      <c r="AG58" s="139"/>
      <c r="AL58" s="173" t="s">
        <v>515</v>
      </c>
      <c r="AM58" s="431">
        <f>SUM(AM55:AM57)</f>
        <v>0</v>
      </c>
      <c r="AN58" s="486">
        <f>AN55+AN56+AN57</f>
        <v>0</v>
      </c>
      <c r="AO58" s="486">
        <f>AO55+AO56+AO57</f>
        <v>0</v>
      </c>
      <c r="AP58" s="486"/>
      <c r="AQ58" s="431">
        <f>AQ57+AQ56+AQ55</f>
        <v>0</v>
      </c>
      <c r="AR58" s="431">
        <f>AR57+AR56+AR55</f>
        <v>0</v>
      </c>
      <c r="AS58" s="484"/>
      <c r="AT58" s="1137"/>
      <c r="BD58" s="434"/>
      <c r="BG58" s="1034"/>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row>
    <row r="59" spans="6:93" ht="15" customHeight="1">
      <c r="F59" s="9"/>
      <c r="G59" s="9"/>
      <c r="H59" s="9"/>
      <c r="I59" s="9"/>
      <c r="J59" s="9"/>
      <c r="K59" s="9"/>
      <c r="L59" s="9"/>
      <c r="Q59" s="194" t="s">
        <v>516</v>
      </c>
      <c r="R59" s="1156"/>
      <c r="S59" s="1156"/>
      <c r="T59" s="1156"/>
      <c r="U59" s="1156"/>
      <c r="X59" s="99"/>
      <c r="Y59" s="943"/>
      <c r="Z59" s="32" t="str">
        <f aca="true" t="shared" si="18" ref="Z59:Z66">Q15</f>
        <v>  Moha</v>
      </c>
      <c r="AA59" s="99"/>
      <c r="AB59" s="1190"/>
      <c r="AC59" s="140">
        <v>0</v>
      </c>
      <c r="AD59" s="16">
        <f>R15</f>
        <v>0</v>
      </c>
      <c r="AE59" s="959">
        <f>AD59*AC59</f>
        <v>0</v>
      </c>
      <c r="AF59" s="9">
        <f>R73</f>
        <v>0</v>
      </c>
      <c r="AG59" s="959">
        <f>AF59*AC59</f>
        <v>0</v>
      </c>
      <c r="AH59" s="1290">
        <f>AF59+AD59</f>
        <v>0</v>
      </c>
      <c r="AL59" s="171" t="s">
        <v>517</v>
      </c>
      <c r="AM59" s="467">
        <f>AM58+AM44+AM53</f>
        <v>0</v>
      </c>
      <c r="AN59" s="467">
        <f>AN58+AN44+AN53</f>
        <v>0</v>
      </c>
      <c r="AO59" s="475">
        <f>AO58+AO44+AO53</f>
        <v>0</v>
      </c>
      <c r="AP59" s="487"/>
      <c r="AQ59" s="488"/>
      <c r="AR59" s="482"/>
      <c r="AS59" s="484"/>
      <c r="AT59" s="1137"/>
      <c r="BD59" s="434"/>
      <c r="BG59" s="1034"/>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19"/>
      <c r="CF59" s="19"/>
      <c r="CG59" s="20"/>
      <c r="CH59" s="20"/>
      <c r="CI59" s="20"/>
      <c r="CJ59" s="20"/>
      <c r="CK59" s="20"/>
      <c r="CL59" s="20"/>
      <c r="CM59" s="20"/>
      <c r="CN59" s="20"/>
      <c r="CO59" s="20"/>
    </row>
    <row r="60" spans="13:93" s="1156" customFormat="1" ht="15" customHeight="1">
      <c r="M60" s="1157"/>
      <c r="O60" s="1158"/>
      <c r="P60" s="1158"/>
      <c r="Q60" s="303" t="s">
        <v>300</v>
      </c>
      <c r="R60" s="303" t="s">
        <v>301</v>
      </c>
      <c r="S60" s="335" t="s">
        <v>302</v>
      </c>
      <c r="T60" s="303" t="s">
        <v>303</v>
      </c>
      <c r="U60" s="336" t="s">
        <v>304</v>
      </c>
      <c r="V60" s="1159"/>
      <c r="W60" s="1159"/>
      <c r="Y60" s="1059"/>
      <c r="Z60" s="32" t="str">
        <f t="shared" si="18"/>
        <v>  Sorgo forrajero</v>
      </c>
      <c r="AA60" s="1160"/>
      <c r="AB60" s="1190"/>
      <c r="AC60" s="140">
        <v>0</v>
      </c>
      <c r="AD60" s="16">
        <f aca="true" t="shared" si="19" ref="AD60:AD66">R16</f>
        <v>0</v>
      </c>
      <c r="AE60" s="959">
        <f aca="true" t="shared" si="20" ref="AE60:AE66">AD60*AC60</f>
        <v>0</v>
      </c>
      <c r="AF60" s="9">
        <f aca="true" t="shared" si="21" ref="AF60:AF66">R74</f>
        <v>0</v>
      </c>
      <c r="AG60" s="959">
        <f aca="true" t="shared" si="22" ref="AG60:AG66">AF60*AC60</f>
        <v>0</v>
      </c>
      <c r="AH60" s="1290">
        <f>R16</f>
        <v>0</v>
      </c>
      <c r="AM60" s="1161"/>
      <c r="AN60" s="1161"/>
      <c r="AO60" s="1161"/>
      <c r="AP60" s="1162"/>
      <c r="AQ60" s="1162"/>
      <c r="AR60" s="1163"/>
      <c r="AS60" s="1163"/>
      <c r="AT60" s="1164"/>
      <c r="AU60" s="1164"/>
      <c r="AV60" s="1164"/>
      <c r="AW60" s="1164"/>
      <c r="AX60" s="1164"/>
      <c r="AY60" s="1164"/>
      <c r="AZ60" s="1164"/>
      <c r="BA60" s="1164"/>
      <c r="BB60" s="1161"/>
      <c r="BC60" s="1161"/>
      <c r="BD60" s="1161"/>
      <c r="BF60" s="1165"/>
      <c r="BG60" s="1166"/>
      <c r="BH60" s="1167"/>
      <c r="BI60" s="1167"/>
      <c r="BJ60" s="1167"/>
      <c r="BK60" s="1167"/>
      <c r="BL60" s="1167"/>
      <c r="BM60" s="1167"/>
      <c r="BN60" s="1167"/>
      <c r="BO60" s="1167"/>
      <c r="BP60" s="1167"/>
      <c r="BQ60" s="1167"/>
      <c r="BR60" s="1167"/>
      <c r="BS60" s="1167"/>
      <c r="BT60" s="1167"/>
      <c r="BU60" s="1167"/>
      <c r="BV60" s="1167"/>
      <c r="BW60" s="1167"/>
      <c r="BX60" s="1167"/>
      <c r="BY60" s="1167"/>
      <c r="BZ60" s="1167"/>
      <c r="CA60" s="1167"/>
      <c r="CB60" s="1167"/>
      <c r="CC60" s="1167"/>
      <c r="CD60" s="1167"/>
      <c r="CE60" s="1167"/>
      <c r="CF60" s="19"/>
      <c r="CG60" s="1167"/>
      <c r="CH60" s="1167"/>
      <c r="CI60" s="1167"/>
      <c r="CJ60" s="1167"/>
      <c r="CK60" s="1167"/>
      <c r="CL60" s="1167"/>
      <c r="CM60" s="1167"/>
      <c r="CN60" s="1167"/>
      <c r="CO60" s="1167"/>
    </row>
    <row r="61" spans="4:93" ht="15" customHeight="1">
      <c r="D61" s="9"/>
      <c r="E61" s="9"/>
      <c r="F61" s="9"/>
      <c r="G61" s="9"/>
      <c r="H61" s="9"/>
      <c r="I61" s="9"/>
      <c r="J61" s="9"/>
      <c r="K61" s="9"/>
      <c r="L61" s="9"/>
      <c r="Q61" s="337"/>
      <c r="R61" s="317" t="s">
        <v>74</v>
      </c>
      <c r="S61" s="338" t="s">
        <v>308</v>
      </c>
      <c r="T61" s="317"/>
      <c r="U61" s="339" t="s">
        <v>309</v>
      </c>
      <c r="Y61" s="1058"/>
      <c r="Z61" s="32" t="str">
        <f>Q17</f>
        <v>  Silo Maiz</v>
      </c>
      <c r="AA61" s="99"/>
      <c r="AB61" s="1190"/>
      <c r="AC61" s="140">
        <v>0</v>
      </c>
      <c r="AD61" s="16">
        <f t="shared" si="19"/>
        <v>0</v>
      </c>
      <c r="AE61" s="959">
        <f t="shared" si="20"/>
        <v>0</v>
      </c>
      <c r="AF61" s="9">
        <f t="shared" si="21"/>
        <v>0</v>
      </c>
      <c r="AG61" s="959">
        <f t="shared" si="22"/>
        <v>0</v>
      </c>
      <c r="AH61" s="1290">
        <f>R17</f>
        <v>0</v>
      </c>
      <c r="AM61" s="434"/>
      <c r="AN61" s="434"/>
      <c r="AO61" s="434"/>
      <c r="AP61" s="434"/>
      <c r="AQ61" s="434"/>
      <c r="AR61" s="434"/>
      <c r="AS61" s="481"/>
      <c r="AT61" s="1137"/>
      <c r="BD61" s="434"/>
      <c r="BG61" s="1034"/>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19"/>
      <c r="CH61" s="20"/>
      <c r="CI61" s="20"/>
      <c r="CJ61" s="20"/>
      <c r="CK61" s="20"/>
      <c r="CL61" s="20"/>
      <c r="CM61" s="20"/>
      <c r="CN61" s="20"/>
      <c r="CO61" s="20"/>
    </row>
    <row r="62" spans="4:93" ht="15" customHeight="1">
      <c r="D62" s="9"/>
      <c r="E62" s="9"/>
      <c r="F62" s="9"/>
      <c r="G62" s="9"/>
      <c r="H62" s="9"/>
      <c r="I62" s="9"/>
      <c r="J62" s="9"/>
      <c r="K62" s="9"/>
      <c r="L62" s="9"/>
      <c r="Q62" s="12" t="s">
        <v>324</v>
      </c>
      <c r="R62" s="89">
        <v>0</v>
      </c>
      <c r="S62" s="89">
        <v>0</v>
      </c>
      <c r="T62" s="89">
        <v>0</v>
      </c>
      <c r="U62" s="437">
        <f>R62*T62*S62/12</f>
        <v>0</v>
      </c>
      <c r="Y62" s="1058"/>
      <c r="Z62" s="32" t="str">
        <f t="shared" si="18"/>
        <v>  Silo Sorgo</v>
      </c>
      <c r="AA62" s="99"/>
      <c r="AB62" s="1190"/>
      <c r="AC62" s="140">
        <v>0</v>
      </c>
      <c r="AD62" s="16">
        <f t="shared" si="19"/>
        <v>0</v>
      </c>
      <c r="AE62" s="959">
        <f t="shared" si="20"/>
        <v>0</v>
      </c>
      <c r="AF62" s="9">
        <f t="shared" si="21"/>
        <v>0</v>
      </c>
      <c r="AG62" s="959">
        <f t="shared" si="22"/>
        <v>0</v>
      </c>
      <c r="AH62" s="1290">
        <f>R76+R18</f>
        <v>0</v>
      </c>
      <c r="AM62" s="434"/>
      <c r="AN62" s="434"/>
      <c r="AO62" s="434"/>
      <c r="AP62" s="434"/>
      <c r="AQ62" s="434"/>
      <c r="AR62" s="434"/>
      <c r="AS62" s="434"/>
      <c r="AT62" s="1137"/>
      <c r="BD62" s="434"/>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19"/>
      <c r="CH62" s="20"/>
      <c r="CI62" s="20"/>
      <c r="CJ62" s="20"/>
      <c r="CK62" s="20"/>
      <c r="CL62" s="20"/>
      <c r="CM62" s="20"/>
      <c r="CN62" s="20"/>
      <c r="CO62" s="20"/>
    </row>
    <row r="63" spans="4:93" ht="15" customHeight="1">
      <c r="D63" s="9"/>
      <c r="E63" s="9"/>
      <c r="F63" s="9"/>
      <c r="G63" s="9"/>
      <c r="H63" s="9"/>
      <c r="I63" s="9"/>
      <c r="J63" s="9"/>
      <c r="K63" s="9"/>
      <c r="L63" s="9"/>
      <c r="Q63" s="12" t="s">
        <v>328</v>
      </c>
      <c r="R63" s="89">
        <v>0</v>
      </c>
      <c r="S63" s="89">
        <v>0</v>
      </c>
      <c r="T63" s="89">
        <v>0</v>
      </c>
      <c r="U63" s="437">
        <f aca="true" t="shared" si="23" ref="U63:U69">R63*T63*S63/12</f>
        <v>0</v>
      </c>
      <c r="Y63" s="1058"/>
      <c r="Z63" s="32" t="str">
        <f t="shared" si="18"/>
        <v>  Otro cultivo para silo</v>
      </c>
      <c r="AA63" s="99"/>
      <c r="AB63" s="1190"/>
      <c r="AC63" s="140">
        <v>0</v>
      </c>
      <c r="AD63" s="16">
        <f t="shared" si="19"/>
        <v>0</v>
      </c>
      <c r="AE63" s="959">
        <f t="shared" si="20"/>
        <v>0</v>
      </c>
      <c r="AF63" s="9">
        <f t="shared" si="21"/>
        <v>0</v>
      </c>
      <c r="AG63" s="959">
        <f t="shared" si="22"/>
        <v>0</v>
      </c>
      <c r="AH63" s="1290">
        <f>R19+R77</f>
        <v>0</v>
      </c>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row>
    <row r="64" spans="4:93" ht="15" customHeight="1">
      <c r="D64" s="9"/>
      <c r="E64" s="9"/>
      <c r="F64" s="9"/>
      <c r="G64" s="9"/>
      <c r="H64" s="9"/>
      <c r="I64" s="9"/>
      <c r="J64" s="9"/>
      <c r="K64" s="9"/>
      <c r="L64" s="9"/>
      <c r="Q64" s="12" t="s">
        <v>335</v>
      </c>
      <c r="R64" s="89">
        <v>0</v>
      </c>
      <c r="S64" s="89">
        <v>0</v>
      </c>
      <c r="T64" s="89">
        <v>0</v>
      </c>
      <c r="U64" s="437">
        <f t="shared" si="23"/>
        <v>0</v>
      </c>
      <c r="Y64" s="1030"/>
      <c r="Z64" s="32" t="str">
        <f t="shared" si="18"/>
        <v>  Avena</v>
      </c>
      <c r="AA64" s="99"/>
      <c r="AB64" s="1190"/>
      <c r="AC64" s="140">
        <v>0</v>
      </c>
      <c r="AD64" s="16">
        <f t="shared" si="19"/>
        <v>0</v>
      </c>
      <c r="AE64" s="959">
        <f t="shared" si="20"/>
        <v>0</v>
      </c>
      <c r="AF64" s="9">
        <f t="shared" si="21"/>
        <v>0</v>
      </c>
      <c r="AG64" s="959">
        <f t="shared" si="22"/>
        <v>0</v>
      </c>
      <c r="AH64" s="1290">
        <f>R20+R78</f>
        <v>0</v>
      </c>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19"/>
      <c r="CF64" s="19"/>
      <c r="CG64" s="20"/>
      <c r="CH64" s="20"/>
      <c r="CI64" s="20"/>
      <c r="CJ64" s="20"/>
      <c r="CK64" s="20"/>
      <c r="CL64" s="20"/>
      <c r="CM64" s="20"/>
      <c r="CN64" s="20"/>
      <c r="CO64" s="20"/>
    </row>
    <row r="65" spans="4:93" ht="15" customHeight="1">
      <c r="D65" s="9"/>
      <c r="E65" s="9"/>
      <c r="F65" s="9"/>
      <c r="G65" s="9"/>
      <c r="H65" s="9"/>
      <c r="I65" s="9"/>
      <c r="J65" s="9"/>
      <c r="K65" s="9"/>
      <c r="L65" s="9"/>
      <c r="Q65" s="12" t="s">
        <v>342</v>
      </c>
      <c r="R65" s="89">
        <v>0</v>
      </c>
      <c r="S65" s="89">
        <v>0</v>
      </c>
      <c r="T65" s="89">
        <v>0</v>
      </c>
      <c r="U65" s="437">
        <f t="shared" si="23"/>
        <v>0</v>
      </c>
      <c r="Y65" s="1030"/>
      <c r="Z65" s="32" t="str">
        <f t="shared" si="18"/>
        <v>  Maíz para grano húmedo</v>
      </c>
      <c r="AA65" s="99"/>
      <c r="AB65" s="1190"/>
      <c r="AC65" s="140">
        <v>0</v>
      </c>
      <c r="AD65" s="16">
        <f t="shared" si="19"/>
        <v>0</v>
      </c>
      <c r="AE65" s="959">
        <f t="shared" si="20"/>
        <v>0</v>
      </c>
      <c r="AF65" s="9">
        <f t="shared" si="21"/>
        <v>0</v>
      </c>
      <c r="AG65" s="959">
        <f t="shared" si="22"/>
        <v>0</v>
      </c>
      <c r="AH65" s="1290">
        <f>R79+R21</f>
        <v>0</v>
      </c>
      <c r="BH65" s="19"/>
      <c r="BI65" s="19"/>
      <c r="BJ65" s="19"/>
      <c r="BK65" s="19"/>
      <c r="BL65" s="19"/>
      <c r="BM65" s="19"/>
      <c r="BN65" s="19"/>
      <c r="BO65" s="20"/>
      <c r="BP65" s="20"/>
      <c r="BQ65" s="20"/>
      <c r="BR65" s="20"/>
      <c r="BS65" s="20"/>
      <c r="BT65" s="20"/>
      <c r="BU65" s="20"/>
      <c r="BV65" s="20"/>
      <c r="BW65" s="20"/>
      <c r="BX65" s="20"/>
      <c r="BY65" s="20"/>
      <c r="BZ65" s="20"/>
      <c r="CA65" s="20"/>
      <c r="CB65" s="20"/>
      <c r="CC65" s="20"/>
      <c r="CD65" s="20"/>
      <c r="CE65" s="20"/>
      <c r="CF65" s="20"/>
      <c r="CG65" s="19"/>
      <c r="CH65" s="20"/>
      <c r="CI65" s="20"/>
      <c r="CJ65" s="20"/>
      <c r="CK65" s="20"/>
      <c r="CL65" s="20"/>
      <c r="CM65" s="20"/>
      <c r="CN65" s="20"/>
      <c r="CO65" s="20"/>
    </row>
    <row r="66" spans="4:93" ht="15" customHeight="1">
      <c r="D66" s="9"/>
      <c r="E66" s="9"/>
      <c r="F66" s="9"/>
      <c r="G66" s="9"/>
      <c r="H66" s="9"/>
      <c r="I66" s="9"/>
      <c r="J66" s="9"/>
      <c r="K66" s="9"/>
      <c r="L66" s="9"/>
      <c r="Q66" s="270" t="s">
        <v>349</v>
      </c>
      <c r="R66" s="89">
        <v>0</v>
      </c>
      <c r="S66" s="89">
        <v>0</v>
      </c>
      <c r="T66" s="89">
        <v>0</v>
      </c>
      <c r="U66" s="437">
        <f t="shared" si="23"/>
        <v>0</v>
      </c>
      <c r="Y66" s="1030"/>
      <c r="Z66" s="32" t="str">
        <f t="shared" si="18"/>
        <v>  Sorgo para grano húmedo</v>
      </c>
      <c r="AA66" s="99"/>
      <c r="AB66" s="1190"/>
      <c r="AC66" s="140">
        <v>0</v>
      </c>
      <c r="AD66" s="16">
        <f t="shared" si="19"/>
        <v>0</v>
      </c>
      <c r="AE66" s="959">
        <f t="shared" si="20"/>
        <v>0</v>
      </c>
      <c r="AF66" s="9">
        <f t="shared" si="21"/>
        <v>0</v>
      </c>
      <c r="AG66" s="959">
        <f t="shared" si="22"/>
        <v>0</v>
      </c>
      <c r="AH66" s="1290">
        <f>R22+R80</f>
        <v>0</v>
      </c>
      <c r="BH66" s="19"/>
      <c r="BI66" s="19"/>
      <c r="BJ66" s="19"/>
      <c r="BK66" s="19"/>
      <c r="BL66" s="19"/>
      <c r="BM66" s="19"/>
      <c r="BN66" s="19"/>
      <c r="BO66" s="20"/>
      <c r="BP66" s="20"/>
      <c r="BQ66" s="20"/>
      <c r="BR66" s="20"/>
      <c r="BS66" s="20"/>
      <c r="BT66" s="20"/>
      <c r="BU66" s="20"/>
      <c r="BV66" s="20"/>
      <c r="BW66" s="20"/>
      <c r="BX66" s="20"/>
      <c r="BY66" s="20"/>
      <c r="BZ66" s="20"/>
      <c r="CA66" s="20"/>
      <c r="CB66" s="20"/>
      <c r="CC66" s="20"/>
      <c r="CD66" s="20"/>
      <c r="CE66" s="20"/>
      <c r="CF66" s="20"/>
      <c r="CG66" s="19"/>
      <c r="CH66" s="20"/>
      <c r="CI66" s="20"/>
      <c r="CJ66" s="20"/>
      <c r="CK66" s="20"/>
      <c r="CL66" s="20"/>
      <c r="CM66" s="20"/>
      <c r="CN66" s="20"/>
      <c r="CO66" s="20"/>
    </row>
    <row r="67" spans="4:93" ht="15" customHeight="1">
      <c r="D67" s="9"/>
      <c r="E67" s="9"/>
      <c r="F67" s="9"/>
      <c r="G67" s="9"/>
      <c r="H67" s="9"/>
      <c r="I67" s="9"/>
      <c r="J67" s="9"/>
      <c r="K67" s="9"/>
      <c r="L67" s="9"/>
      <c r="Q67" s="12" t="s">
        <v>355</v>
      </c>
      <c r="R67" s="89">
        <v>0</v>
      </c>
      <c r="S67" s="89">
        <v>0</v>
      </c>
      <c r="T67" s="89">
        <v>0</v>
      </c>
      <c r="U67" s="437">
        <f t="shared" si="23"/>
        <v>0</v>
      </c>
      <c r="Y67" s="1030"/>
      <c r="Z67" s="1264" t="s">
        <v>518</v>
      </c>
      <c r="AA67" s="99"/>
      <c r="AB67" s="1190"/>
      <c r="AC67" s="1249"/>
      <c r="AD67" s="1290"/>
      <c r="AE67" s="1275">
        <v>0</v>
      </c>
      <c r="AF67" s="1290"/>
      <c r="AG67" s="1275">
        <v>0</v>
      </c>
      <c r="AH67" s="1290"/>
      <c r="BH67" s="19"/>
      <c r="BI67" s="19"/>
      <c r="BJ67" s="19"/>
      <c r="BK67" s="19"/>
      <c r="BL67" s="19"/>
      <c r="BM67" s="19"/>
      <c r="BN67" s="19"/>
      <c r="BO67" s="20"/>
      <c r="BP67" s="20"/>
      <c r="BQ67" s="20"/>
      <c r="BR67" s="20"/>
      <c r="BS67" s="20"/>
      <c r="BT67" s="20"/>
      <c r="BU67" s="20"/>
      <c r="BV67" s="20"/>
      <c r="BW67" s="20"/>
      <c r="BX67" s="20"/>
      <c r="BY67" s="20"/>
      <c r="BZ67" s="20"/>
      <c r="CA67" s="20"/>
      <c r="CB67" s="20"/>
      <c r="CC67" s="20"/>
      <c r="CD67" s="20"/>
      <c r="CE67" s="20"/>
      <c r="CF67" s="19"/>
      <c r="CG67" s="20"/>
      <c r="CH67" s="20"/>
      <c r="CI67" s="20"/>
      <c r="CJ67" s="20"/>
      <c r="CK67" s="20"/>
      <c r="CL67" s="20"/>
      <c r="CM67" s="20"/>
      <c r="CN67" s="20"/>
      <c r="CO67" s="20"/>
    </row>
    <row r="68" spans="4:93" ht="15" customHeight="1">
      <c r="D68" s="9"/>
      <c r="E68" s="9"/>
      <c r="F68" s="9"/>
      <c r="G68" s="9"/>
      <c r="H68" s="9"/>
      <c r="I68" s="9"/>
      <c r="J68" s="9"/>
      <c r="K68" s="9"/>
      <c r="L68" s="9"/>
      <c r="Q68" s="12" t="s">
        <v>328</v>
      </c>
      <c r="R68" s="89">
        <v>0</v>
      </c>
      <c r="S68" s="89">
        <v>0</v>
      </c>
      <c r="T68" s="89">
        <v>0</v>
      </c>
      <c r="U68" s="437">
        <f t="shared" si="23"/>
        <v>0</v>
      </c>
      <c r="Y68" s="1030"/>
      <c r="Z68" s="1264" t="s">
        <v>519</v>
      </c>
      <c r="AA68" s="99"/>
      <c r="AB68" s="1190"/>
      <c r="AC68" s="387">
        <v>0</v>
      </c>
      <c r="AD68" s="1421">
        <v>0</v>
      </c>
      <c r="AE68" s="959">
        <f>AD68*AC68</f>
        <v>0</v>
      </c>
      <c r="AF68" s="1421">
        <v>0</v>
      </c>
      <c r="AG68" s="959">
        <f>AF68*AC68</f>
        <v>0</v>
      </c>
      <c r="AH68" s="1290"/>
      <c r="BH68" s="19"/>
      <c r="BI68" s="19"/>
      <c r="BJ68" s="19"/>
      <c r="BK68" s="19"/>
      <c r="BL68" s="19"/>
      <c r="BM68" s="19"/>
      <c r="BN68" s="19"/>
      <c r="BO68" s="20"/>
      <c r="BP68" s="20"/>
      <c r="BQ68" s="20"/>
      <c r="BR68" s="20"/>
      <c r="BS68" s="20"/>
      <c r="BT68" s="20"/>
      <c r="BU68" s="20"/>
      <c r="BV68" s="20"/>
      <c r="BW68" s="20"/>
      <c r="BX68" s="20"/>
      <c r="BY68" s="20"/>
      <c r="BZ68" s="20"/>
      <c r="CA68" s="20"/>
      <c r="CB68" s="20"/>
      <c r="CC68" s="20"/>
      <c r="CD68" s="20"/>
      <c r="CE68" s="20"/>
      <c r="CF68" s="19"/>
      <c r="CG68" s="20"/>
      <c r="CH68" s="20"/>
      <c r="CI68" s="20"/>
      <c r="CJ68" s="20"/>
      <c r="CK68" s="20"/>
      <c r="CL68" s="20"/>
      <c r="CM68" s="20"/>
      <c r="CN68" s="20"/>
      <c r="CO68" s="20"/>
    </row>
    <row r="69" spans="4:93" ht="15" customHeight="1">
      <c r="D69" s="9"/>
      <c r="E69" s="9"/>
      <c r="F69" s="9"/>
      <c r="G69" s="9"/>
      <c r="H69" s="9"/>
      <c r="I69" s="9"/>
      <c r="J69" s="9"/>
      <c r="K69" s="9"/>
      <c r="L69" s="9"/>
      <c r="Q69" s="12" t="s">
        <v>365</v>
      </c>
      <c r="R69" s="89">
        <v>0</v>
      </c>
      <c r="S69" s="89">
        <v>0</v>
      </c>
      <c r="T69" s="89">
        <v>0</v>
      </c>
      <c r="U69" s="437">
        <f t="shared" si="23"/>
        <v>0</v>
      </c>
      <c r="Y69" s="1058"/>
      <c r="Z69" s="1264" t="s">
        <v>520</v>
      </c>
      <c r="AA69" s="99"/>
      <c r="AB69" s="1190"/>
      <c r="AC69" s="387">
        <v>0</v>
      </c>
      <c r="AD69" s="1298">
        <v>0</v>
      </c>
      <c r="AE69" s="959">
        <f>AC69*AD69</f>
        <v>0</v>
      </c>
      <c r="AF69" s="1421">
        <v>0</v>
      </c>
      <c r="AG69" s="959">
        <f>AF69*AC69</f>
        <v>0</v>
      </c>
      <c r="AH69" s="1290"/>
      <c r="BH69" s="19"/>
      <c r="BI69" s="19"/>
      <c r="BJ69" s="19"/>
      <c r="BK69" s="19"/>
      <c r="BL69" s="19"/>
      <c r="BM69" s="19"/>
      <c r="BN69" s="19"/>
      <c r="BO69" s="20"/>
      <c r="BP69" s="20"/>
      <c r="BQ69" s="20"/>
      <c r="BR69" s="20"/>
      <c r="BS69" s="20"/>
      <c r="BT69" s="20"/>
      <c r="BU69" s="20"/>
      <c r="BV69" s="20"/>
      <c r="BW69" s="20"/>
      <c r="BX69" s="20"/>
      <c r="BY69" s="20"/>
      <c r="BZ69" s="20"/>
      <c r="CA69" s="20"/>
      <c r="CB69" s="20"/>
      <c r="CC69" s="20"/>
      <c r="CD69" s="20"/>
      <c r="CE69" s="20"/>
      <c r="CF69" s="19"/>
      <c r="CG69" s="20"/>
      <c r="CH69" s="20"/>
      <c r="CI69" s="20"/>
      <c r="CJ69" s="20"/>
      <c r="CK69" s="20"/>
      <c r="CL69" s="20"/>
      <c r="CM69" s="20"/>
      <c r="CN69" s="20"/>
      <c r="CO69" s="20"/>
    </row>
    <row r="70" spans="4:93" ht="15" customHeight="1">
      <c r="D70" s="9"/>
      <c r="E70" s="9"/>
      <c r="F70" s="9"/>
      <c r="G70" s="9"/>
      <c r="H70" s="9"/>
      <c r="I70" s="9"/>
      <c r="J70" s="9"/>
      <c r="K70" s="9"/>
      <c r="L70" s="9"/>
      <c r="Q70" s="12" t="s">
        <v>342</v>
      </c>
      <c r="R70" s="89">
        <v>0</v>
      </c>
      <c r="S70" s="89">
        <v>0</v>
      </c>
      <c r="T70" s="89">
        <v>0</v>
      </c>
      <c r="U70" s="437">
        <f>R70*T70*S70/12</f>
        <v>0</v>
      </c>
      <c r="Y70" s="1058"/>
      <c r="Z70" s="1264" t="s">
        <v>521</v>
      </c>
      <c r="AA70" s="481"/>
      <c r="AB70" s="1259"/>
      <c r="AC70" s="1260"/>
      <c r="AD70" s="1169"/>
      <c r="AE70" s="426"/>
      <c r="AG70" s="426"/>
      <c r="AH70" s="1290"/>
      <c r="BH70" s="19"/>
      <c r="BI70" s="19"/>
      <c r="BJ70" s="19"/>
      <c r="BK70" s="20"/>
      <c r="BL70" s="19"/>
      <c r="BM70" s="19"/>
      <c r="BN70" s="19"/>
      <c r="BO70" s="20"/>
      <c r="BP70" s="20"/>
      <c r="BQ70" s="20"/>
      <c r="BR70" s="20"/>
      <c r="BS70" s="20"/>
      <c r="BT70" s="20"/>
      <c r="BU70" s="20"/>
      <c r="BV70" s="20"/>
      <c r="BW70" s="20"/>
      <c r="BX70" s="20"/>
      <c r="BY70" s="20"/>
      <c r="BZ70" s="20"/>
      <c r="CA70" s="20"/>
      <c r="CB70" s="20"/>
      <c r="CC70" s="20"/>
      <c r="CD70" s="20"/>
      <c r="CE70" s="20"/>
      <c r="CF70" s="19"/>
      <c r="CG70" s="20"/>
      <c r="CH70" s="20"/>
      <c r="CI70" s="20"/>
      <c r="CJ70" s="20"/>
      <c r="CK70" s="20"/>
      <c r="CL70" s="20"/>
      <c r="CM70" s="20"/>
      <c r="CN70" s="20"/>
      <c r="CO70" s="20"/>
    </row>
    <row r="71" spans="4:93" ht="15" customHeight="1">
      <c r="D71" s="9"/>
      <c r="E71" s="9"/>
      <c r="F71" s="9"/>
      <c r="G71" s="9"/>
      <c r="H71" s="9"/>
      <c r="I71" s="9"/>
      <c r="J71" s="9"/>
      <c r="K71" s="9"/>
      <c r="L71" s="9"/>
      <c r="Q71" s="32" t="s">
        <v>378</v>
      </c>
      <c r="R71" s="89">
        <v>0</v>
      </c>
      <c r="S71" s="89">
        <v>0</v>
      </c>
      <c r="T71" s="89">
        <v>0</v>
      </c>
      <c r="U71" s="437">
        <f>R71*T71*S71/12</f>
        <v>0</v>
      </c>
      <c r="Z71" s="41" t="s">
        <v>522</v>
      </c>
      <c r="AA71" s="99"/>
      <c r="AB71" s="1191" t="s">
        <v>511</v>
      </c>
      <c r="AC71" s="151">
        <v>0</v>
      </c>
      <c r="AD71" s="99">
        <f>R17</f>
        <v>0</v>
      </c>
      <c r="AE71" s="426">
        <f>AC71*R17</f>
        <v>0</v>
      </c>
      <c r="AF71" s="9">
        <f>R75</f>
        <v>0</v>
      </c>
      <c r="AG71" s="426">
        <f>AC71*R75</f>
        <v>0</v>
      </c>
      <c r="AH71" s="1290">
        <f>R17+R75</f>
        <v>0</v>
      </c>
      <c r="BF71" s="145"/>
      <c r="BG71" s="1034"/>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19"/>
      <c r="CG71" s="20"/>
      <c r="CH71" s="20"/>
      <c r="CI71" s="20"/>
      <c r="CJ71" s="20"/>
      <c r="CK71" s="20"/>
      <c r="CL71" s="20"/>
      <c r="CM71" s="20"/>
      <c r="CN71" s="20"/>
      <c r="CO71" s="20"/>
    </row>
    <row r="72" spans="4:93" ht="15" customHeight="1">
      <c r="D72" s="9"/>
      <c r="E72" s="9"/>
      <c r="F72" s="9"/>
      <c r="G72" s="9"/>
      <c r="H72" s="9"/>
      <c r="I72" s="9"/>
      <c r="J72" s="9"/>
      <c r="K72" s="9"/>
      <c r="L72" s="9"/>
      <c r="Q72" s="32" t="s">
        <v>382</v>
      </c>
      <c r="R72" s="89">
        <v>0</v>
      </c>
      <c r="S72" s="89">
        <v>0</v>
      </c>
      <c r="T72" s="89">
        <v>0</v>
      </c>
      <c r="U72" s="437">
        <f>R72*T72*S72/12</f>
        <v>0</v>
      </c>
      <c r="Z72" s="41" t="s">
        <v>523</v>
      </c>
      <c r="AA72" s="99"/>
      <c r="AB72" s="1191" t="s">
        <v>511</v>
      </c>
      <c r="AC72" s="151">
        <v>0</v>
      </c>
      <c r="AD72" s="99">
        <f>R18</f>
        <v>0</v>
      </c>
      <c r="AE72" s="426">
        <f>AC72*R18</f>
        <v>0</v>
      </c>
      <c r="AF72" s="9">
        <f>R76</f>
        <v>0</v>
      </c>
      <c r="AG72" s="426">
        <f>AC72*R76</f>
        <v>0</v>
      </c>
      <c r="AH72" s="1290">
        <f>R18+R76</f>
        <v>0</v>
      </c>
      <c r="BF72" s="145"/>
      <c r="BG72" s="1034"/>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19"/>
      <c r="CG72" s="20"/>
      <c r="CH72" s="20"/>
      <c r="CI72" s="20"/>
      <c r="CJ72" s="20"/>
      <c r="CK72" s="20"/>
      <c r="CL72" s="20"/>
      <c r="CM72" s="20"/>
      <c r="CN72" s="20"/>
      <c r="CO72" s="20"/>
    </row>
    <row r="73" spans="4:93" ht="15" customHeight="1">
      <c r="D73" s="9"/>
      <c r="E73" s="9"/>
      <c r="F73" s="9"/>
      <c r="G73" s="9"/>
      <c r="H73" s="9"/>
      <c r="I73" s="9"/>
      <c r="J73" s="9"/>
      <c r="K73" s="9"/>
      <c r="L73" s="9"/>
      <c r="Q73" s="32" t="s">
        <v>388</v>
      </c>
      <c r="R73" s="89">
        <v>0</v>
      </c>
      <c r="S73" s="89">
        <v>0</v>
      </c>
      <c r="T73" s="89">
        <v>0</v>
      </c>
      <c r="U73" s="437">
        <f>R73*T73</f>
        <v>0</v>
      </c>
      <c r="Z73" s="41" t="s">
        <v>524</v>
      </c>
      <c r="AB73" s="1191" t="s">
        <v>511</v>
      </c>
      <c r="AC73" s="151">
        <v>0</v>
      </c>
      <c r="AD73" s="99">
        <f>R19</f>
        <v>0</v>
      </c>
      <c r="AE73" s="426">
        <f>AC73*R19</f>
        <v>0</v>
      </c>
      <c r="AF73" s="9">
        <f>R77</f>
        <v>0</v>
      </c>
      <c r="AG73" s="426">
        <f>AC73*R77</f>
        <v>0</v>
      </c>
      <c r="AH73" s="1290">
        <f>R19+R77</f>
        <v>0</v>
      </c>
      <c r="BF73" s="145"/>
      <c r="BG73" s="1034"/>
      <c r="BH73" s="19"/>
      <c r="BI73" s="19"/>
      <c r="BJ73" s="19"/>
      <c r="BK73" s="19"/>
      <c r="BL73" s="19"/>
      <c r="BM73" s="19"/>
      <c r="BN73" s="19"/>
      <c r="BO73" s="19"/>
      <c r="BP73" s="19"/>
      <c r="BQ73" s="20"/>
      <c r="BR73" s="20"/>
      <c r="BS73" s="20"/>
      <c r="BT73" s="20"/>
      <c r="BU73" s="20"/>
      <c r="BV73" s="20"/>
      <c r="BW73" s="20"/>
      <c r="BX73" s="20"/>
      <c r="BY73" s="20"/>
      <c r="BZ73" s="20"/>
      <c r="CA73" s="20"/>
      <c r="CB73" s="20"/>
      <c r="CC73" s="20"/>
      <c r="CD73" s="20"/>
      <c r="CE73" s="20"/>
      <c r="CF73" s="19"/>
      <c r="CG73" s="20"/>
      <c r="CH73" s="20"/>
      <c r="CI73" s="20"/>
      <c r="CJ73" s="20"/>
      <c r="CK73" s="20"/>
      <c r="CL73" s="20"/>
      <c r="CM73" s="20"/>
      <c r="CN73" s="20"/>
      <c r="CO73" s="20"/>
    </row>
    <row r="74" spans="4:93" ht="15" customHeight="1">
      <c r="D74" s="9"/>
      <c r="E74" s="9"/>
      <c r="F74" s="9"/>
      <c r="G74" s="9"/>
      <c r="H74" s="9"/>
      <c r="I74" s="9"/>
      <c r="J74" s="9"/>
      <c r="K74" s="9"/>
      <c r="L74" s="9"/>
      <c r="Q74" s="32" t="s">
        <v>394</v>
      </c>
      <c r="R74" s="89">
        <v>0</v>
      </c>
      <c r="S74" s="89">
        <v>0</v>
      </c>
      <c r="T74" s="89">
        <v>0</v>
      </c>
      <c r="U74" s="437">
        <f aca="true" t="shared" si="24" ref="U74:U80">R74*T74</f>
        <v>0</v>
      </c>
      <c r="Z74" s="41" t="s">
        <v>525</v>
      </c>
      <c r="AA74" s="99"/>
      <c r="AB74" s="1191" t="s">
        <v>526</v>
      </c>
      <c r="AC74" s="151">
        <v>0</v>
      </c>
      <c r="AD74" s="99">
        <f>U50</f>
        <v>0</v>
      </c>
      <c r="AE74" s="426">
        <f>AC74*U50</f>
        <v>0</v>
      </c>
      <c r="AF74" s="9">
        <f>U104</f>
        <v>0</v>
      </c>
      <c r="AG74" s="426">
        <f>AC74*U104</f>
        <v>0</v>
      </c>
      <c r="AH74" s="1290">
        <f>U50+U104</f>
        <v>0</v>
      </c>
      <c r="BF74" s="145"/>
      <c r="BG74" s="1034"/>
      <c r="BH74" s="19"/>
      <c r="BI74" s="19"/>
      <c r="BJ74" s="19"/>
      <c r="BK74" s="19"/>
      <c r="BL74" s="19"/>
      <c r="BM74" s="19"/>
      <c r="BN74" s="19"/>
      <c r="BO74" s="19"/>
      <c r="BP74" s="19"/>
      <c r="BQ74" s="20"/>
      <c r="BR74" s="20"/>
      <c r="BS74" s="20"/>
      <c r="BT74" s="20"/>
      <c r="BU74" s="20"/>
      <c r="BV74" s="20"/>
      <c r="BW74" s="20"/>
      <c r="BX74" s="20"/>
      <c r="BY74" s="20"/>
      <c r="BZ74" s="20"/>
      <c r="CA74" s="20"/>
      <c r="CB74" s="20"/>
      <c r="CC74" s="20"/>
      <c r="CD74" s="20"/>
      <c r="CE74" s="20"/>
      <c r="CF74" s="19"/>
      <c r="CG74" s="20"/>
      <c r="CH74" s="20"/>
      <c r="CI74" s="20"/>
      <c r="CJ74" s="20"/>
      <c r="CK74" s="20"/>
      <c r="CL74" s="20"/>
      <c r="CM74" s="20"/>
      <c r="CN74" s="20"/>
      <c r="CO74" s="20"/>
    </row>
    <row r="75" spans="4:93" ht="15" customHeight="1">
      <c r="D75" s="9"/>
      <c r="E75" s="9"/>
      <c r="F75" s="9"/>
      <c r="G75" s="9"/>
      <c r="H75" s="9"/>
      <c r="I75" s="9"/>
      <c r="J75" s="9"/>
      <c r="K75" s="9"/>
      <c r="L75" s="9"/>
      <c r="Q75" s="77" t="s">
        <v>400</v>
      </c>
      <c r="R75" s="89">
        <v>0</v>
      </c>
      <c r="S75" s="89">
        <v>0</v>
      </c>
      <c r="T75" s="89">
        <v>0</v>
      </c>
      <c r="U75" s="437">
        <f t="shared" si="24"/>
        <v>0</v>
      </c>
      <c r="Z75" s="41" t="s">
        <v>527</v>
      </c>
      <c r="AA75" s="99"/>
      <c r="AB75" s="1191" t="s">
        <v>526</v>
      </c>
      <c r="AC75" s="151">
        <v>0</v>
      </c>
      <c r="AD75" s="99">
        <f>T50</f>
        <v>0</v>
      </c>
      <c r="AE75" s="426">
        <f>AC75*T50</f>
        <v>0</v>
      </c>
      <c r="AF75" s="9">
        <f>T104</f>
        <v>0</v>
      </c>
      <c r="AG75" s="426">
        <f>AC75*T104</f>
        <v>0</v>
      </c>
      <c r="AH75" s="1290">
        <f>T50+T104</f>
        <v>0</v>
      </c>
      <c r="BF75" s="145"/>
      <c r="BG75" s="1034"/>
      <c r="BH75" s="19"/>
      <c r="BI75" s="19"/>
      <c r="BJ75" s="19"/>
      <c r="BK75" s="19"/>
      <c r="BL75" s="19"/>
      <c r="BM75" s="19"/>
      <c r="BN75" s="19"/>
      <c r="BO75" s="19"/>
      <c r="BP75" s="19"/>
      <c r="BQ75" s="20"/>
      <c r="BR75" s="20"/>
      <c r="BS75" s="20"/>
      <c r="BT75" s="20"/>
      <c r="BU75" s="20"/>
      <c r="BV75" s="20"/>
      <c r="BW75" s="20"/>
      <c r="BX75" s="20"/>
      <c r="BY75" s="20"/>
      <c r="BZ75" s="20"/>
      <c r="CA75" s="20"/>
      <c r="CB75" s="20"/>
      <c r="CC75" s="20"/>
      <c r="CD75" s="20"/>
      <c r="CE75" s="20"/>
      <c r="CF75" s="19"/>
      <c r="CG75" s="20"/>
      <c r="CH75" s="20"/>
      <c r="CI75" s="20"/>
      <c r="CJ75" s="20"/>
      <c r="CK75" s="20"/>
      <c r="CL75" s="20"/>
      <c r="CM75" s="20"/>
      <c r="CN75" s="20"/>
      <c r="CO75" s="20"/>
    </row>
    <row r="76" spans="4:93" ht="15" customHeight="1">
      <c r="D76" s="9"/>
      <c r="E76" s="9"/>
      <c r="F76" s="9"/>
      <c r="G76" s="9"/>
      <c r="H76" s="9"/>
      <c r="I76" s="9"/>
      <c r="J76" s="9"/>
      <c r="K76" s="9"/>
      <c r="L76" s="9"/>
      <c r="Q76" s="32" t="s">
        <v>403</v>
      </c>
      <c r="R76" s="89">
        <v>0</v>
      </c>
      <c r="S76" s="89">
        <v>0</v>
      </c>
      <c r="T76" s="89">
        <v>0</v>
      </c>
      <c r="U76" s="437">
        <f t="shared" si="24"/>
        <v>0</v>
      </c>
      <c r="Z76" s="41" t="s">
        <v>528</v>
      </c>
      <c r="AA76" s="99"/>
      <c r="AB76" s="1191" t="s">
        <v>526</v>
      </c>
      <c r="AC76" s="151">
        <v>0</v>
      </c>
      <c r="AD76" s="99">
        <f>S50</f>
        <v>0</v>
      </c>
      <c r="AE76" s="426">
        <f>AC76*S50</f>
        <v>0</v>
      </c>
      <c r="AF76" s="9">
        <f>S104</f>
        <v>0</v>
      </c>
      <c r="AG76" s="426">
        <f>AC76*S104</f>
        <v>0</v>
      </c>
      <c r="AH76" s="1290">
        <f>S50+S104</f>
        <v>0</v>
      </c>
      <c r="BF76" s="145"/>
      <c r="BG76" s="1034"/>
      <c r="BH76" s="19"/>
      <c r="BI76" s="19"/>
      <c r="BJ76" s="19"/>
      <c r="BK76" s="19"/>
      <c r="BL76" s="19"/>
      <c r="BM76" s="19"/>
      <c r="BN76" s="19"/>
      <c r="BO76" s="19"/>
      <c r="BP76" s="19"/>
      <c r="BQ76" s="20"/>
      <c r="BR76" s="20"/>
      <c r="BS76" s="20"/>
      <c r="BT76" s="20"/>
      <c r="BU76" s="20"/>
      <c r="BV76" s="20"/>
      <c r="BW76" s="20"/>
      <c r="BX76" s="20"/>
      <c r="BY76" s="20"/>
      <c r="BZ76" s="20"/>
      <c r="CA76" s="20"/>
      <c r="CB76" s="20"/>
      <c r="CC76" s="20"/>
      <c r="CD76" s="20"/>
      <c r="CE76" s="20"/>
      <c r="CF76" s="19"/>
      <c r="CG76" s="20"/>
      <c r="CH76" s="20"/>
      <c r="CI76" s="20"/>
      <c r="CJ76" s="20"/>
      <c r="CK76" s="20"/>
      <c r="CL76" s="20"/>
      <c r="CM76" s="20"/>
      <c r="CN76" s="20"/>
      <c r="CO76" s="20"/>
    </row>
    <row r="77" spans="4:93" ht="15" customHeight="1">
      <c r="D77" s="9"/>
      <c r="E77" s="9"/>
      <c r="F77" s="9"/>
      <c r="G77" s="9"/>
      <c r="H77" s="9"/>
      <c r="I77" s="9"/>
      <c r="J77" s="9"/>
      <c r="K77" s="9"/>
      <c r="L77" s="9"/>
      <c r="Q77" s="32" t="s">
        <v>409</v>
      </c>
      <c r="R77" s="89">
        <v>0</v>
      </c>
      <c r="S77" s="89">
        <v>0</v>
      </c>
      <c r="T77" s="89">
        <v>0</v>
      </c>
      <c r="U77" s="437">
        <f t="shared" si="24"/>
        <v>0</v>
      </c>
      <c r="Z77" s="41" t="s">
        <v>529</v>
      </c>
      <c r="AA77" s="99"/>
      <c r="AB77" s="1191" t="s">
        <v>526</v>
      </c>
      <c r="AC77" s="151">
        <v>0</v>
      </c>
      <c r="AD77" s="99">
        <f>R50</f>
        <v>0</v>
      </c>
      <c r="AE77" s="426">
        <f>AC77*R50</f>
        <v>0</v>
      </c>
      <c r="AF77" s="9">
        <f>R104</f>
        <v>0</v>
      </c>
      <c r="AG77" s="426">
        <f>AC77*R104</f>
        <v>0</v>
      </c>
      <c r="AH77" s="1290">
        <f>R50+R104</f>
        <v>0</v>
      </c>
      <c r="AT77" s="1059"/>
      <c r="BF77" s="145"/>
      <c r="BG77" s="1034"/>
      <c r="BH77" s="19"/>
      <c r="BI77" s="19"/>
      <c r="BJ77" s="19"/>
      <c r="BK77" s="19"/>
      <c r="BL77" s="19"/>
      <c r="BM77" s="19"/>
      <c r="BN77" s="19"/>
      <c r="BO77" s="19"/>
      <c r="BP77" s="19"/>
      <c r="BQ77" s="20"/>
      <c r="BR77" s="20"/>
      <c r="BS77" s="20"/>
      <c r="BT77" s="20"/>
      <c r="BU77" s="20"/>
      <c r="BV77" s="20"/>
      <c r="BW77" s="20"/>
      <c r="BX77" s="20"/>
      <c r="BY77" s="20"/>
      <c r="BZ77" s="20"/>
      <c r="CA77" s="20"/>
      <c r="CB77" s="20"/>
      <c r="CC77" s="20"/>
      <c r="CD77" s="20"/>
      <c r="CE77" s="20"/>
      <c r="CF77" s="19"/>
      <c r="CG77" s="20"/>
      <c r="CH77" s="20"/>
      <c r="CI77" s="20"/>
      <c r="CJ77" s="20"/>
      <c r="CK77" s="20"/>
      <c r="CL77" s="20"/>
      <c r="CM77" s="20"/>
      <c r="CN77" s="20"/>
      <c r="CO77" s="20"/>
    </row>
    <row r="78" spans="4:93" ht="15" customHeight="1">
      <c r="D78" s="9"/>
      <c r="E78" s="9"/>
      <c r="F78" s="9"/>
      <c r="G78" s="9"/>
      <c r="H78" s="9"/>
      <c r="I78" s="9"/>
      <c r="J78" s="9"/>
      <c r="K78" s="9"/>
      <c r="L78" s="9"/>
      <c r="Q78" s="732" t="s">
        <v>415</v>
      </c>
      <c r="R78" s="669">
        <v>0</v>
      </c>
      <c r="S78" s="669">
        <v>0</v>
      </c>
      <c r="T78" s="669">
        <v>0</v>
      </c>
      <c r="U78" s="670">
        <f t="shared" si="24"/>
        <v>0</v>
      </c>
      <c r="Z78" s="41" t="str">
        <f>Q38</f>
        <v>Compra heno consumido (rollos)</v>
      </c>
      <c r="AA78" s="99"/>
      <c r="AB78" s="1191" t="s">
        <v>526</v>
      </c>
      <c r="AC78" s="151">
        <v>0</v>
      </c>
      <c r="AD78" s="99">
        <f>T38</f>
        <v>0</v>
      </c>
      <c r="AE78" s="426">
        <f>AC78*T38</f>
        <v>0</v>
      </c>
      <c r="AF78" s="9">
        <f>T93</f>
        <v>0</v>
      </c>
      <c r="AG78" s="426">
        <f>AC78*T93</f>
        <v>0</v>
      </c>
      <c r="AH78" s="1290">
        <f>T38+T93</f>
        <v>0</v>
      </c>
      <c r="AT78" s="1059"/>
      <c r="BF78" s="145"/>
      <c r="BG78" s="1034"/>
      <c r="BH78" s="19"/>
      <c r="BI78" s="19"/>
      <c r="BJ78" s="19"/>
      <c r="BK78" s="19"/>
      <c r="BL78" s="19"/>
      <c r="BM78" s="19"/>
      <c r="BN78" s="19"/>
      <c r="BO78" s="19"/>
      <c r="BP78" s="19"/>
      <c r="BQ78" s="20"/>
      <c r="BR78" s="20"/>
      <c r="BS78" s="20"/>
      <c r="BT78" s="20"/>
      <c r="BU78" s="20"/>
      <c r="BV78" s="20"/>
      <c r="BW78" s="20"/>
      <c r="BX78" s="20"/>
      <c r="BY78" s="20"/>
      <c r="BZ78" s="20"/>
      <c r="CA78" s="20"/>
      <c r="CB78" s="20"/>
      <c r="CC78" s="20"/>
      <c r="CD78" s="20"/>
      <c r="CE78" s="20"/>
      <c r="CF78" s="19"/>
      <c r="CG78" s="20"/>
      <c r="CH78" s="20"/>
      <c r="CI78" s="20"/>
      <c r="CJ78" s="20"/>
      <c r="CK78" s="20"/>
      <c r="CL78" s="20"/>
      <c r="CM78" s="20"/>
      <c r="CN78" s="20"/>
      <c r="CO78" s="20"/>
    </row>
    <row r="79" spans="4:93" ht="15" customHeight="1">
      <c r="D79" s="9"/>
      <c r="E79" s="9"/>
      <c r="F79" s="9"/>
      <c r="G79" s="9"/>
      <c r="H79" s="9"/>
      <c r="I79" s="9"/>
      <c r="J79" s="9"/>
      <c r="K79" s="9"/>
      <c r="L79" s="9"/>
      <c r="Q79" s="32" t="s">
        <v>420</v>
      </c>
      <c r="R79" s="89">
        <v>0</v>
      </c>
      <c r="S79" s="89">
        <v>0</v>
      </c>
      <c r="T79" s="89">
        <v>0</v>
      </c>
      <c r="U79" s="437">
        <f t="shared" si="24"/>
        <v>0</v>
      </c>
      <c r="Z79" s="41" t="str">
        <f>Q39</f>
        <v>Compra silo planta entera (kg MS)</v>
      </c>
      <c r="AA79" s="99"/>
      <c r="AB79" s="1191" t="s">
        <v>530</v>
      </c>
      <c r="AC79" s="151">
        <v>0</v>
      </c>
      <c r="AD79" s="99">
        <f>T39</f>
        <v>0</v>
      </c>
      <c r="AE79" s="426">
        <f>AC79*T39</f>
        <v>0</v>
      </c>
      <c r="AF79" s="9">
        <f>T94</f>
        <v>0</v>
      </c>
      <c r="AG79" s="426">
        <f>AC79*T94</f>
        <v>0</v>
      </c>
      <c r="AH79" s="1290">
        <f>T39+T94</f>
        <v>0</v>
      </c>
      <c r="AT79" s="1059"/>
      <c r="BF79" s="145"/>
      <c r="BG79" s="1034"/>
      <c r="BH79" s="19"/>
      <c r="BI79" s="19"/>
      <c r="BJ79" s="19"/>
      <c r="BK79" s="19"/>
      <c r="BL79" s="19"/>
      <c r="BM79" s="19"/>
      <c r="BN79" s="19"/>
      <c r="BO79" s="19"/>
      <c r="BP79" s="19"/>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row>
    <row r="80" spans="4:93" ht="15" customHeight="1">
      <c r="D80" s="9"/>
      <c r="E80" s="9"/>
      <c r="F80" s="9"/>
      <c r="G80" s="9"/>
      <c r="H80" s="9"/>
      <c r="I80" s="9"/>
      <c r="J80" s="9"/>
      <c r="K80" s="9"/>
      <c r="L80" s="9"/>
      <c r="Q80" s="32" t="s">
        <v>424</v>
      </c>
      <c r="R80" s="89">
        <v>0</v>
      </c>
      <c r="S80" s="89">
        <v>0</v>
      </c>
      <c r="T80" s="89">
        <v>0</v>
      </c>
      <c r="U80" s="437">
        <f t="shared" si="24"/>
        <v>0</v>
      </c>
      <c r="Z80" s="1265" t="s">
        <v>531</v>
      </c>
      <c r="AA80" s="99"/>
      <c r="AB80" s="1191"/>
      <c r="AC80" s="413"/>
      <c r="AD80" s="1168"/>
      <c r="AE80" s="426">
        <f>SUM(AE81:AE88)</f>
        <v>0</v>
      </c>
      <c r="AH80" s="1290"/>
      <c r="AT80" s="1059"/>
      <c r="BF80" s="145"/>
      <c r="BG80" s="1034"/>
      <c r="BH80" s="19"/>
      <c r="BI80" s="19"/>
      <c r="BJ80" s="19"/>
      <c r="BK80" s="19"/>
      <c r="BL80" s="19"/>
      <c r="BM80" s="19"/>
      <c r="BN80" s="19"/>
      <c r="BO80" s="19"/>
      <c r="BP80" s="19"/>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row>
    <row r="81" spans="4:93" ht="15" customHeight="1">
      <c r="D81" s="9"/>
      <c r="E81" s="9"/>
      <c r="F81" s="9"/>
      <c r="G81" s="9"/>
      <c r="H81" s="9"/>
      <c r="I81" s="9"/>
      <c r="J81" s="9"/>
      <c r="K81" s="9"/>
      <c r="L81" s="9"/>
      <c r="Q81" s="58" t="s">
        <v>428</v>
      </c>
      <c r="R81" s="420">
        <f>SUM(R62:R80)</f>
        <v>0</v>
      </c>
      <c r="S81" s="1128">
        <f>(R62*S62+R63*S63+R64*S64+R65*S65+R66*S66+R67*S67+R68*S68+R69*S69+R70*S70+R71*S71+R72*S72+R73*S73+R74*S74+R75*S75+R76*S76+R77*S77+R78*S78+R79*S79+R80*S80)/12</f>
        <v>0</v>
      </c>
      <c r="T81" s="103"/>
      <c r="U81" s="438">
        <f>SUM(U62:U80)</f>
        <v>0</v>
      </c>
      <c r="Z81" s="16" t="str">
        <f>Q29</f>
        <v>     Vaca ordeño</v>
      </c>
      <c r="AA81" s="99" t="str">
        <f>R29</f>
        <v>Balanceado</v>
      </c>
      <c r="AB81" s="1191" t="s">
        <v>532</v>
      </c>
      <c r="AC81" s="413">
        <v>0</v>
      </c>
      <c r="AD81" s="1302">
        <f aca="true" t="shared" si="25" ref="AD81:AD88">U29</f>
        <v>0</v>
      </c>
      <c r="AE81" s="426">
        <f aca="true" t="shared" si="26" ref="AE81:AE88">AC81*U29</f>
        <v>0</v>
      </c>
      <c r="AG81" s="13"/>
      <c r="AH81" s="1029"/>
      <c r="AT81" s="1059"/>
      <c r="BF81" s="145"/>
      <c r="BG81" s="1034"/>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row>
    <row r="82" spans="4:93" ht="15" customHeight="1">
      <c r="D82" s="9"/>
      <c r="E82" s="9"/>
      <c r="F82" s="9"/>
      <c r="G82" s="9"/>
      <c r="H82" s="9"/>
      <c r="I82" s="9"/>
      <c r="J82" s="9"/>
      <c r="K82" s="9"/>
      <c r="L82" s="9"/>
      <c r="Q82" s="296" t="s">
        <v>431</v>
      </c>
      <c r="R82" s="340"/>
      <c r="S82" s="448">
        <f>IF(AO53=0,0,(AO53+AO58))</f>
        <v>0</v>
      </c>
      <c r="T82" s="341" t="s">
        <v>432</v>
      </c>
      <c r="U82" s="439">
        <f>S82*18.545*365</f>
        <v>0</v>
      </c>
      <c r="Z82" s="16"/>
      <c r="AA82" s="99" t="str">
        <f aca="true" t="shared" si="27" ref="AA82:AA88">R30</f>
        <v>Sorgo</v>
      </c>
      <c r="AB82" s="1191" t="s">
        <v>532</v>
      </c>
      <c r="AC82" s="413">
        <v>0</v>
      </c>
      <c r="AD82" s="1302">
        <f t="shared" si="25"/>
        <v>0</v>
      </c>
      <c r="AE82" s="426">
        <f t="shared" si="26"/>
        <v>0</v>
      </c>
      <c r="AG82" s="426"/>
      <c r="AH82" s="1029"/>
      <c r="AT82" s="1059"/>
      <c r="BF82" s="145"/>
      <c r="BG82" s="1034"/>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row>
    <row r="83" spans="4:93" ht="15" customHeight="1">
      <c r="D83" s="9"/>
      <c r="E83" s="9"/>
      <c r="F83" s="9"/>
      <c r="G83" s="9"/>
      <c r="H83" s="9"/>
      <c r="I83" s="9"/>
      <c r="J83" s="9"/>
      <c r="K83" s="9"/>
      <c r="L83" s="9"/>
      <c r="Q83" s="298" t="s">
        <v>436</v>
      </c>
      <c r="R83" s="342"/>
      <c r="S83" s="449">
        <f>U83/18.545/365</f>
        <v>0</v>
      </c>
      <c r="T83" s="343" t="s">
        <v>432</v>
      </c>
      <c r="U83" s="440">
        <f>U81</f>
        <v>0</v>
      </c>
      <c r="Z83" s="16"/>
      <c r="AA83" s="99">
        <f t="shared" si="27"/>
        <v>0</v>
      </c>
      <c r="AB83" s="1191" t="s">
        <v>532</v>
      </c>
      <c r="AC83" s="413">
        <v>0</v>
      </c>
      <c r="AD83" s="1302">
        <f t="shared" si="25"/>
        <v>0</v>
      </c>
      <c r="AE83" s="426">
        <f t="shared" si="26"/>
        <v>0</v>
      </c>
      <c r="AG83" s="426"/>
      <c r="AH83" s="1029"/>
      <c r="AT83" s="1059"/>
      <c r="BF83" s="145"/>
      <c r="BG83" s="1034"/>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19"/>
      <c r="CF83" s="19"/>
      <c r="CG83" s="20"/>
      <c r="CH83" s="20"/>
      <c r="CI83" s="20"/>
      <c r="CJ83" s="20"/>
      <c r="CK83" s="20"/>
      <c r="CL83" s="20"/>
      <c r="CM83" s="20"/>
      <c r="CN83" s="20"/>
      <c r="CO83" s="20"/>
    </row>
    <row r="84" spans="4:93" ht="15" customHeight="1">
      <c r="D84" s="9"/>
      <c r="E84" s="9"/>
      <c r="F84" s="9"/>
      <c r="G84" s="9"/>
      <c r="H84" s="9"/>
      <c r="I84" s="9"/>
      <c r="J84" s="9"/>
      <c r="K84" s="9"/>
      <c r="L84" s="9"/>
      <c r="M84" s="128"/>
      <c r="Q84" s="326" t="s">
        <v>441</v>
      </c>
      <c r="R84" s="327"/>
      <c r="S84" s="450">
        <f>IF(S82=0,0,S83-S82)</f>
        <v>0</v>
      </c>
      <c r="T84" s="344" t="s">
        <v>432</v>
      </c>
      <c r="U84" s="441">
        <f>IF(U83=0,0,U83-U82)</f>
        <v>0</v>
      </c>
      <c r="Z84" s="16"/>
      <c r="AA84" s="99">
        <f t="shared" si="27"/>
        <v>0</v>
      </c>
      <c r="AB84" s="1191" t="s">
        <v>532</v>
      </c>
      <c r="AC84" s="413">
        <v>0</v>
      </c>
      <c r="AD84" s="1302">
        <f t="shared" si="25"/>
        <v>0</v>
      </c>
      <c r="AE84" s="426">
        <f t="shared" si="26"/>
        <v>0</v>
      </c>
      <c r="AG84" s="426"/>
      <c r="AH84" s="1029"/>
      <c r="AT84" s="1059"/>
      <c r="BF84" s="145"/>
      <c r="BG84" s="1034"/>
      <c r="BH84" s="19"/>
      <c r="BI84" s="19"/>
      <c r="BJ84" s="19"/>
      <c r="BK84" s="19"/>
      <c r="BL84" s="19"/>
      <c r="BM84" s="19"/>
      <c r="BN84" s="20"/>
      <c r="BO84" s="20"/>
      <c r="BP84" s="20"/>
      <c r="BQ84" s="20"/>
      <c r="BR84" s="20"/>
      <c r="BS84" s="20"/>
      <c r="BT84" s="20"/>
      <c r="BU84" s="20"/>
      <c r="BV84" s="20"/>
      <c r="BW84" s="20"/>
      <c r="BX84" s="20"/>
      <c r="BY84" s="20"/>
      <c r="BZ84" s="20"/>
      <c r="CA84" s="20"/>
      <c r="CB84" s="20"/>
      <c r="CC84" s="20"/>
      <c r="CD84" s="20"/>
      <c r="CE84" s="20"/>
      <c r="CF84" s="19"/>
      <c r="CG84" s="20"/>
      <c r="CH84" s="20"/>
      <c r="CI84" s="20"/>
      <c r="CJ84" s="20"/>
      <c r="CK84" s="20"/>
      <c r="CL84" s="20"/>
      <c r="CM84" s="20"/>
      <c r="CN84" s="20"/>
      <c r="CO84" s="20"/>
    </row>
    <row r="85" spans="4:93" ht="15" customHeight="1">
      <c r="D85" s="9"/>
      <c r="E85" s="9"/>
      <c r="F85" s="9"/>
      <c r="G85" s="9"/>
      <c r="H85" s="9"/>
      <c r="I85" s="9"/>
      <c r="J85" s="9"/>
      <c r="K85" s="9"/>
      <c r="L85" s="9"/>
      <c r="M85" s="128"/>
      <c r="Q85" s="32" t="s">
        <v>533</v>
      </c>
      <c r="R85" s="20"/>
      <c r="S85" s="34"/>
      <c r="U85" s="442">
        <f>IF('VII. Impresión'!DF12=0,0,S82/'VII. Impresión'!DF12)</f>
        <v>0</v>
      </c>
      <c r="X85" s="1181"/>
      <c r="Y85" s="1058"/>
      <c r="Z85" s="16" t="str">
        <f>Q33</f>
        <v>     Vaca seca</v>
      </c>
      <c r="AA85" s="99">
        <f t="shared" si="27"/>
        <v>0</v>
      </c>
      <c r="AB85" s="1191" t="s">
        <v>532</v>
      </c>
      <c r="AC85" s="413">
        <v>0</v>
      </c>
      <c r="AD85" s="1302">
        <f t="shared" si="25"/>
        <v>0</v>
      </c>
      <c r="AE85" s="426">
        <f t="shared" si="26"/>
        <v>0</v>
      </c>
      <c r="AG85" s="426"/>
      <c r="AH85" s="1029"/>
      <c r="AT85" s="1059"/>
      <c r="BF85" s="145"/>
      <c r="BG85" s="1034"/>
      <c r="BH85" s="19"/>
      <c r="BI85" s="19"/>
      <c r="BJ85" s="19"/>
      <c r="BK85" s="19"/>
      <c r="BL85" s="19"/>
      <c r="BM85" s="19"/>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row>
    <row r="86" spans="4:93" ht="15" customHeight="1">
      <c r="D86" s="9"/>
      <c r="E86" s="9"/>
      <c r="F86" s="9"/>
      <c r="G86" s="9"/>
      <c r="H86" s="9"/>
      <c r="I86" s="9"/>
      <c r="J86" s="9"/>
      <c r="K86" s="9"/>
      <c r="L86" s="9"/>
      <c r="M86" s="129"/>
      <c r="Q86" s="313" t="s">
        <v>446</v>
      </c>
      <c r="R86" s="345"/>
      <c r="S86" s="346" t="s">
        <v>447</v>
      </c>
      <c r="T86" s="347" t="s">
        <v>448</v>
      </c>
      <c r="U86" s="443" t="s">
        <v>449</v>
      </c>
      <c r="Y86" s="1058"/>
      <c r="Z86" s="16" t="str">
        <f>Q34</f>
        <v>     Vaquillonas preñadas</v>
      </c>
      <c r="AA86" s="99">
        <f t="shared" si="27"/>
        <v>0</v>
      </c>
      <c r="AB86" s="1191" t="s">
        <v>532</v>
      </c>
      <c r="AC86" s="413">
        <v>0</v>
      </c>
      <c r="AD86" s="1302">
        <f t="shared" si="25"/>
        <v>0</v>
      </c>
      <c r="AE86" s="426">
        <f t="shared" si="26"/>
        <v>0</v>
      </c>
      <c r="AG86" s="426"/>
      <c r="AH86" s="1029"/>
      <c r="AT86" s="1059"/>
      <c r="BF86" s="145"/>
      <c r="BG86" s="1034"/>
      <c r="BH86" s="19"/>
      <c r="BI86" s="19"/>
      <c r="BJ86" s="19"/>
      <c r="BK86" s="19"/>
      <c r="BL86" s="19"/>
      <c r="BM86" s="19"/>
      <c r="BN86" s="20"/>
      <c r="BO86" s="20"/>
      <c r="BP86" s="20"/>
      <c r="BQ86" s="20"/>
      <c r="BR86" s="20"/>
      <c r="BS86" s="20"/>
      <c r="BT86" s="20"/>
      <c r="BU86" s="20"/>
      <c r="BV86" s="20"/>
      <c r="BW86" s="20"/>
      <c r="BX86" s="20"/>
      <c r="BY86" s="20"/>
      <c r="BZ86" s="20"/>
      <c r="CA86" s="20"/>
      <c r="CB86" s="20"/>
      <c r="CC86" s="20"/>
      <c r="CD86" s="20"/>
      <c r="CE86" s="20"/>
      <c r="CF86" s="19"/>
      <c r="CG86" s="20"/>
      <c r="CH86" s="20"/>
      <c r="CI86" s="20"/>
      <c r="CJ86" s="20"/>
      <c r="CK86" s="20"/>
      <c r="CL86" s="20"/>
      <c r="CM86" s="20"/>
      <c r="CN86" s="20"/>
      <c r="CO86" s="20"/>
    </row>
    <row r="87" spans="4:93" ht="15" customHeight="1">
      <c r="D87" s="9"/>
      <c r="E87" s="9"/>
      <c r="F87" s="85"/>
      <c r="G87" s="85"/>
      <c r="H87" s="85"/>
      <c r="I87" s="85"/>
      <c r="J87" s="85"/>
      <c r="K87" s="85"/>
      <c r="Q87" s="109" t="s">
        <v>534</v>
      </c>
      <c r="R87" s="112" t="s">
        <v>456</v>
      </c>
      <c r="S87" s="414">
        <v>0</v>
      </c>
      <c r="T87" s="110">
        <v>0</v>
      </c>
      <c r="U87" s="444">
        <f>S87*T87*(AN46+AN55)</f>
        <v>0</v>
      </c>
      <c r="Z87" s="16" t="str">
        <f>Q35</f>
        <v>     Terneros/as &lt; 1 año</v>
      </c>
      <c r="AA87" s="99" t="str">
        <f t="shared" si="27"/>
        <v>Balanceado</v>
      </c>
      <c r="AB87" s="1191" t="s">
        <v>532</v>
      </c>
      <c r="AC87" s="413">
        <v>0</v>
      </c>
      <c r="AD87" s="1302">
        <f t="shared" si="25"/>
        <v>0</v>
      </c>
      <c r="AE87" s="426">
        <f t="shared" si="26"/>
        <v>0</v>
      </c>
      <c r="AG87" s="426"/>
      <c r="AH87" s="1029"/>
      <c r="AT87" s="1059"/>
      <c r="BF87" s="145"/>
      <c r="BG87" s="1034"/>
      <c r="BH87" s="19"/>
      <c r="BI87" s="19"/>
      <c r="BJ87" s="19"/>
      <c r="BK87" s="19"/>
      <c r="BL87" s="19"/>
      <c r="BM87" s="20"/>
      <c r="BN87" s="20"/>
      <c r="BO87" s="20"/>
      <c r="BP87" s="20"/>
      <c r="BQ87" s="20"/>
      <c r="BR87" s="20"/>
      <c r="BS87" s="20"/>
      <c r="BT87" s="20"/>
      <c r="BU87" s="20"/>
      <c r="BV87" s="20"/>
      <c r="BW87" s="20"/>
      <c r="BX87" s="20"/>
      <c r="BY87" s="20"/>
      <c r="BZ87" s="20"/>
      <c r="CA87" s="20"/>
      <c r="CB87" s="20"/>
      <c r="CC87" s="20"/>
      <c r="CD87" s="20"/>
      <c r="CE87" s="20"/>
      <c r="CF87" s="19"/>
      <c r="CG87" s="20"/>
      <c r="CH87" s="20"/>
      <c r="CI87" s="20"/>
      <c r="CJ87" s="20"/>
      <c r="CK87" s="20"/>
      <c r="CL87" s="20"/>
      <c r="CM87" s="20"/>
      <c r="CN87" s="20"/>
      <c r="CO87" s="20"/>
    </row>
    <row r="88" spans="4:93" ht="15" customHeight="1">
      <c r="D88" s="9"/>
      <c r="E88" s="9"/>
      <c r="F88" s="85"/>
      <c r="G88" s="85"/>
      <c r="H88" s="85"/>
      <c r="I88" s="85"/>
      <c r="J88" s="85"/>
      <c r="K88" s="85"/>
      <c r="Q88" s="109" t="s">
        <v>535</v>
      </c>
      <c r="R88" s="112" t="s">
        <v>536</v>
      </c>
      <c r="S88" s="414">
        <v>0</v>
      </c>
      <c r="T88" s="110">
        <v>0</v>
      </c>
      <c r="U88" s="444">
        <f>S88*T88*(AN47)</f>
        <v>0</v>
      </c>
      <c r="Z88" s="16" t="str">
        <f>Q36</f>
        <v>     Terneros/as &lt; 1 año</v>
      </c>
      <c r="AA88" s="99">
        <f t="shared" si="27"/>
        <v>0</v>
      </c>
      <c r="AB88" s="1191" t="s">
        <v>532</v>
      </c>
      <c r="AC88" s="642">
        <v>0</v>
      </c>
      <c r="AD88" s="1259">
        <f t="shared" si="25"/>
        <v>0</v>
      </c>
      <c r="AE88" s="426">
        <f t="shared" si="26"/>
        <v>0</v>
      </c>
      <c r="AG88" s="426"/>
      <c r="AH88" s="1057"/>
      <c r="AT88" s="1059"/>
      <c r="BF88" s="145"/>
      <c r="BG88" s="1034"/>
      <c r="BH88" s="19"/>
      <c r="BI88" s="19"/>
      <c r="BJ88" s="19"/>
      <c r="BK88" s="19"/>
      <c r="BL88" s="19"/>
      <c r="BM88" s="20"/>
      <c r="BN88" s="20"/>
      <c r="BO88" s="20"/>
      <c r="BP88" s="20"/>
      <c r="BQ88" s="20"/>
      <c r="BR88" s="20"/>
      <c r="BS88" s="20"/>
      <c r="BT88" s="20"/>
      <c r="BU88" s="20"/>
      <c r="BV88" s="20"/>
      <c r="BW88" s="20"/>
      <c r="BX88" s="20"/>
      <c r="BY88" s="20"/>
      <c r="BZ88" s="20"/>
      <c r="CA88" s="20"/>
      <c r="CB88" s="20"/>
      <c r="CC88" s="20"/>
      <c r="CD88" s="20"/>
      <c r="CE88" s="20"/>
      <c r="CF88" s="19"/>
      <c r="CG88" s="20"/>
      <c r="CH88" s="20"/>
      <c r="CI88" s="20"/>
      <c r="CJ88" s="20"/>
      <c r="CK88" s="20"/>
      <c r="CL88" s="20"/>
      <c r="CM88" s="20"/>
      <c r="CN88" s="20"/>
      <c r="CO88" s="20"/>
    </row>
    <row r="89" spans="6:93" ht="15" customHeight="1">
      <c r="F89" s="85"/>
      <c r="G89" s="85"/>
      <c r="H89" s="85"/>
      <c r="I89" s="85"/>
      <c r="J89" s="85"/>
      <c r="K89" s="85"/>
      <c r="Q89" s="109" t="s">
        <v>537</v>
      </c>
      <c r="R89" s="112" t="s">
        <v>453</v>
      </c>
      <c r="S89" s="414">
        <v>0</v>
      </c>
      <c r="T89" s="110">
        <v>0</v>
      </c>
      <c r="U89" s="444">
        <f>S89*T89*AN48</f>
        <v>0</v>
      </c>
      <c r="Z89" s="16" t="s">
        <v>538</v>
      </c>
      <c r="AA89" s="99"/>
      <c r="AB89" s="1191" t="s">
        <v>539</v>
      </c>
      <c r="AC89" s="1155">
        <f>E10*0.33</f>
        <v>0</v>
      </c>
      <c r="AD89" s="1259">
        <f>'VII. Impresión'!DL13</f>
        <v>0</v>
      </c>
      <c r="AE89" s="426">
        <f>AC89*AD89</f>
        <v>0</v>
      </c>
      <c r="AG89" s="426"/>
      <c r="AH89" s="1057"/>
      <c r="AT89" s="1059"/>
      <c r="BF89" s="145"/>
      <c r="BG89" s="1034"/>
      <c r="BH89" s="19"/>
      <c r="BI89" s="19"/>
      <c r="BJ89" s="19"/>
      <c r="BK89" s="19"/>
      <c r="BL89" s="19"/>
      <c r="BM89" s="20"/>
      <c r="BN89" s="20"/>
      <c r="BO89" s="20"/>
      <c r="BP89" s="20"/>
      <c r="BQ89" s="20"/>
      <c r="BR89" s="20"/>
      <c r="BS89" s="20"/>
      <c r="BT89" s="20"/>
      <c r="BU89" s="20"/>
      <c r="BV89" s="20"/>
      <c r="BW89" s="20"/>
      <c r="BX89" s="20"/>
      <c r="BY89" s="20"/>
      <c r="BZ89" s="20"/>
      <c r="CA89" s="20"/>
      <c r="CB89" s="20"/>
      <c r="CC89" s="20"/>
      <c r="CD89" s="20"/>
      <c r="CE89" s="20"/>
      <c r="CF89" s="19"/>
      <c r="CG89" s="20"/>
      <c r="CH89" s="20"/>
      <c r="CI89" s="20"/>
      <c r="CJ89" s="20"/>
      <c r="CK89" s="20"/>
      <c r="CL89" s="20"/>
      <c r="CM89" s="20"/>
      <c r="CN89" s="20"/>
      <c r="CO89" s="20"/>
    </row>
    <row r="90" spans="6:93" ht="15" customHeight="1">
      <c r="F90" s="85"/>
      <c r="G90" s="85"/>
      <c r="H90" s="85"/>
      <c r="I90" s="85"/>
      <c r="J90" s="85"/>
      <c r="K90" s="85"/>
      <c r="Q90" s="109" t="s">
        <v>540</v>
      </c>
      <c r="R90" s="112" t="s">
        <v>456</v>
      </c>
      <c r="S90" s="414">
        <v>0</v>
      </c>
      <c r="T90" s="110">
        <v>0</v>
      </c>
      <c r="U90" s="444">
        <f>S90*T90*(AN56+AN49)</f>
        <v>0</v>
      </c>
      <c r="Z90" s="16"/>
      <c r="AA90" s="715"/>
      <c r="AB90" s="1291"/>
      <c r="AC90" s="712"/>
      <c r="AD90" s="1292"/>
      <c r="AE90" s="1249"/>
      <c r="AF90" s="712"/>
      <c r="AG90" s="426"/>
      <c r="AH90" s="1057"/>
      <c r="AT90" s="1059"/>
      <c r="BF90" s="145"/>
      <c r="BG90" s="46"/>
      <c r="BH90" s="19"/>
      <c r="BI90" s="19"/>
      <c r="BJ90" s="19"/>
      <c r="BK90" s="19"/>
      <c r="BL90" s="19"/>
      <c r="BM90" s="20"/>
      <c r="BN90" s="20"/>
      <c r="BO90" s="20"/>
      <c r="BP90" s="20"/>
      <c r="BQ90" s="20"/>
      <c r="BR90" s="20"/>
      <c r="BS90" s="20"/>
      <c r="BT90" s="20"/>
      <c r="BU90" s="20"/>
      <c r="BV90" s="20"/>
      <c r="BW90" s="20"/>
      <c r="BX90" s="20"/>
      <c r="BY90" s="20"/>
      <c r="BZ90" s="20"/>
      <c r="CA90" s="20"/>
      <c r="CB90" s="20"/>
      <c r="CC90" s="20"/>
      <c r="CD90" s="20"/>
      <c r="CE90" s="20"/>
      <c r="CF90" s="19"/>
      <c r="CG90" s="20"/>
      <c r="CH90" s="20"/>
      <c r="CI90" s="20"/>
      <c r="CJ90" s="20"/>
      <c r="CK90" s="20"/>
      <c r="CL90" s="20"/>
      <c r="CM90" s="20"/>
      <c r="CN90" s="20"/>
      <c r="CO90" s="20"/>
    </row>
    <row r="91" spans="17:93" ht="15" customHeight="1">
      <c r="Q91" s="109" t="s">
        <v>541</v>
      </c>
      <c r="R91" s="112" t="s">
        <v>456</v>
      </c>
      <c r="S91" s="414">
        <v>0</v>
      </c>
      <c r="T91" s="110">
        <v>0</v>
      </c>
      <c r="U91" s="444">
        <f>S91*T91*(AN50+AN57)</f>
        <v>0</v>
      </c>
      <c r="Z91" s="1265" t="s">
        <v>542</v>
      </c>
      <c r="AA91" s="1257"/>
      <c r="AB91" s="1293"/>
      <c r="AC91" s="1258"/>
      <c r="AD91" s="714"/>
      <c r="AE91" s="1280"/>
      <c r="AF91" s="712"/>
      <c r="AG91" s="1299">
        <f>SUM(AG92:AG96)</f>
        <v>0</v>
      </c>
      <c r="AH91" s="1057"/>
      <c r="AT91" s="1059"/>
      <c r="BF91" s="145"/>
      <c r="BG91" s="46"/>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19"/>
      <c r="CG91" s="20"/>
      <c r="CH91" s="20"/>
      <c r="CI91" s="20"/>
      <c r="CJ91" s="20"/>
      <c r="CK91" s="20"/>
      <c r="CL91" s="20"/>
      <c r="CM91" s="20"/>
      <c r="CN91" s="20"/>
      <c r="CO91" s="20"/>
    </row>
    <row r="92" spans="17:93" ht="15" customHeight="1">
      <c r="Q92" s="77" t="s">
        <v>480</v>
      </c>
      <c r="S92" s="118" t="s">
        <v>50</v>
      </c>
      <c r="T92" s="119"/>
      <c r="U92" s="444">
        <f>SUM(U87:U91)</f>
        <v>0</v>
      </c>
      <c r="Z92" s="16" t="str">
        <f aca="true" t="shared" si="28" ref="Z92:AA96">Q87</f>
        <v>Novillos invernada</v>
      </c>
      <c r="AA92" s="9" t="str">
        <f t="shared" si="28"/>
        <v>Sorgo</v>
      </c>
      <c r="AB92" s="1191" t="s">
        <v>532</v>
      </c>
      <c r="AC92" s="642">
        <v>0</v>
      </c>
      <c r="AD92" s="99"/>
      <c r="AE92" s="426"/>
      <c r="AF92" s="1306">
        <f>U87</f>
        <v>0</v>
      </c>
      <c r="AG92" s="426">
        <f>AC92*U87</f>
        <v>0</v>
      </c>
      <c r="AH92" s="1057"/>
      <c r="AT92" s="1059"/>
      <c r="BF92" s="145"/>
      <c r="BG92" s="46"/>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19"/>
      <c r="CG92" s="20"/>
      <c r="CH92" s="20"/>
      <c r="CI92" s="20"/>
      <c r="CJ92" s="20"/>
      <c r="CK92" s="20"/>
      <c r="CL92" s="20"/>
      <c r="CM92" s="20"/>
      <c r="CN92" s="20"/>
      <c r="CO92" s="20"/>
    </row>
    <row r="93" spans="17:93" ht="15" customHeight="1">
      <c r="Q93" s="121" t="s">
        <v>482</v>
      </c>
      <c r="R93" s="105"/>
      <c r="S93" s="105"/>
      <c r="T93" s="929">
        <v>0</v>
      </c>
      <c r="U93" s="930">
        <f>T93*650*2</f>
        <v>0</v>
      </c>
      <c r="Z93" s="16" t="str">
        <f t="shared" si="28"/>
        <v>Novillitos invernada</v>
      </c>
      <c r="AA93" s="9" t="str">
        <f t="shared" si="28"/>
        <v>...........</v>
      </c>
      <c r="AB93" s="1191" t="s">
        <v>532</v>
      </c>
      <c r="AC93" s="642">
        <v>0</v>
      </c>
      <c r="AD93" s="99"/>
      <c r="AE93" s="426"/>
      <c r="AF93" s="1306">
        <f>U88</f>
        <v>0</v>
      </c>
      <c r="AG93" s="426">
        <f>AC93*U88</f>
        <v>0</v>
      </c>
      <c r="AH93" s="1029"/>
      <c r="AT93" s="1059"/>
      <c r="BF93" s="145"/>
      <c r="BG93" s="1034"/>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19"/>
      <c r="CG93" s="20"/>
      <c r="CH93" s="20"/>
      <c r="CI93" s="20"/>
      <c r="CJ93" s="20"/>
      <c r="CK93" s="20"/>
      <c r="CL93" s="20"/>
      <c r="CM93" s="20"/>
      <c r="CN93" s="20"/>
      <c r="CO93" s="20"/>
    </row>
    <row r="94" spans="17:93" ht="15" customHeight="1">
      <c r="Q94" s="268" t="s">
        <v>483</v>
      </c>
      <c r="R94" s="415"/>
      <c r="S94" s="415"/>
      <c r="T94" s="667">
        <v>0</v>
      </c>
      <c r="U94" s="445">
        <f>T94*2.3</f>
        <v>0</v>
      </c>
      <c r="Z94" s="16" t="str">
        <f t="shared" si="28"/>
        <v>Terneros invernada</v>
      </c>
      <c r="AA94" s="9" t="str">
        <f t="shared" si="28"/>
        <v>Balanceado</v>
      </c>
      <c r="AB94" s="1191" t="s">
        <v>532</v>
      </c>
      <c r="AC94" s="642">
        <v>0</v>
      </c>
      <c r="AD94" s="99"/>
      <c r="AE94" s="426"/>
      <c r="AF94" s="1306">
        <f>U89</f>
        <v>0</v>
      </c>
      <c r="AG94" s="426">
        <f>AC94*U89</f>
        <v>0</v>
      </c>
      <c r="AH94" s="1029"/>
      <c r="AT94" s="1059"/>
      <c r="BF94" s="145"/>
      <c r="BG94" s="1034" t="s">
        <v>543</v>
      </c>
      <c r="BH94" s="19"/>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19"/>
      <c r="CG94" s="20"/>
      <c r="CH94" s="20"/>
      <c r="CI94" s="20"/>
      <c r="CJ94" s="20"/>
      <c r="CK94" s="20"/>
      <c r="CL94" s="20"/>
      <c r="CM94" s="20"/>
      <c r="CN94" s="20"/>
      <c r="CO94" s="20"/>
    </row>
    <row r="95" spans="17:93" ht="15" customHeight="1">
      <c r="Q95" s="348" t="s">
        <v>486</v>
      </c>
      <c r="R95" s="349"/>
      <c r="S95" s="349"/>
      <c r="T95" s="349"/>
      <c r="U95" s="440">
        <f>S84+(((U92*3)+(U93)+(U94))/(18.545*365))</f>
        <v>0</v>
      </c>
      <c r="Z95" s="16" t="str">
        <f t="shared" si="28"/>
        <v>Vaquillonas invernada</v>
      </c>
      <c r="AA95" s="9" t="str">
        <f t="shared" si="28"/>
        <v>Sorgo</v>
      </c>
      <c r="AB95" s="1191" t="s">
        <v>532</v>
      </c>
      <c r="AC95" s="642">
        <v>0</v>
      </c>
      <c r="AD95" s="99"/>
      <c r="AE95" s="426"/>
      <c r="AF95" s="1306">
        <f>U90</f>
        <v>0</v>
      </c>
      <c r="AG95" s="426">
        <f>AC95*U90</f>
        <v>0</v>
      </c>
      <c r="AH95" s="1029"/>
      <c r="AT95" s="1059"/>
      <c r="BF95" s="145"/>
      <c r="BG95" s="1034"/>
      <c r="BH95" s="19"/>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19"/>
      <c r="CG95" s="20"/>
      <c r="CH95" s="20"/>
      <c r="CI95" s="20"/>
      <c r="CJ95" s="20"/>
      <c r="CK95" s="20"/>
      <c r="CL95" s="20"/>
      <c r="CM95" s="20"/>
      <c r="CN95" s="20"/>
      <c r="CO95" s="20"/>
    </row>
    <row r="96" spans="2:93" ht="15" customHeight="1">
      <c r="B96" s="122"/>
      <c r="C96" s="181"/>
      <c r="D96" s="115"/>
      <c r="E96" s="122"/>
      <c r="Q96" s="348" t="s">
        <v>489</v>
      </c>
      <c r="R96" s="349"/>
      <c r="S96" s="349"/>
      <c r="T96" s="349"/>
      <c r="U96" s="446">
        <f>U83-U82+((U92*3)+(U93)+(U94))</f>
        <v>0</v>
      </c>
      <c r="Z96" s="16" t="str">
        <f t="shared" si="28"/>
        <v>Vacas invernada</v>
      </c>
      <c r="AA96" s="9" t="str">
        <f t="shared" si="28"/>
        <v>Sorgo</v>
      </c>
      <c r="AB96" s="1191" t="s">
        <v>532</v>
      </c>
      <c r="AC96" s="642">
        <v>0</v>
      </c>
      <c r="AD96" s="99"/>
      <c r="AE96" s="426"/>
      <c r="AF96" s="1306">
        <f>U91</f>
        <v>0</v>
      </c>
      <c r="AG96" s="426">
        <f>AC96*U91</f>
        <v>0</v>
      </c>
      <c r="AH96" s="1029"/>
      <c r="AT96" s="1059"/>
      <c r="BF96" s="145"/>
      <c r="BG96" s="1034" t="s">
        <v>544</v>
      </c>
      <c r="BH96" s="19"/>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row>
    <row r="97" spans="2:93" ht="15" customHeight="1">
      <c r="B97" s="122"/>
      <c r="C97" s="181"/>
      <c r="D97" s="115"/>
      <c r="E97" s="122"/>
      <c r="Q97" s="350" t="s">
        <v>490</v>
      </c>
      <c r="R97" s="351"/>
      <c r="S97" s="351"/>
      <c r="T97" s="351"/>
      <c r="U97" s="447">
        <f>IF(S82=0,0,(U95/S82))</f>
        <v>0</v>
      </c>
      <c r="V97" s="1032"/>
      <c r="Z97" s="16"/>
      <c r="AA97" s="671"/>
      <c r="AB97" s="1252"/>
      <c r="AC97" s="1253"/>
      <c r="AD97" s="714"/>
      <c r="AE97" s="1280"/>
      <c r="AF97" s="1307"/>
      <c r="AG97" s="1275"/>
      <c r="AH97" s="1029"/>
      <c r="AT97" s="1059"/>
      <c r="BF97" s="145"/>
      <c r="BG97" s="1034"/>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row>
    <row r="98" spans="2:93" ht="15" customHeight="1">
      <c r="B98" s="122"/>
      <c r="C98" s="181"/>
      <c r="D98" s="115"/>
      <c r="E98" s="122"/>
      <c r="Q98" s="121" t="s">
        <v>491</v>
      </c>
      <c r="R98" s="416" t="s">
        <v>492</v>
      </c>
      <c r="S98" s="416" t="s">
        <v>493</v>
      </c>
      <c r="T98" s="416" t="s">
        <v>494</v>
      </c>
      <c r="U98" s="108" t="s">
        <v>495</v>
      </c>
      <c r="V98" s="1031"/>
      <c r="Z98" s="1276" t="s">
        <v>545</v>
      </c>
      <c r="AA98" s="717"/>
      <c r="AB98" s="1254"/>
      <c r="AC98" s="1255"/>
      <c r="AD98" s="1256"/>
      <c r="AE98" s="1281"/>
      <c r="AF98" s="1185"/>
      <c r="AG98" s="464"/>
      <c r="AH98" s="1029"/>
      <c r="AT98" s="1059"/>
      <c r="BF98" s="145"/>
      <c r="BG98" s="1034"/>
      <c r="BH98" s="19"/>
      <c r="BI98" s="20"/>
      <c r="BJ98" s="20"/>
      <c r="BK98" s="20"/>
      <c r="BL98" s="20"/>
      <c r="BM98" s="20"/>
      <c r="BN98" s="20"/>
      <c r="BO98" s="20"/>
      <c r="BP98" s="20"/>
      <c r="BQ98" s="20"/>
      <c r="BR98" s="20"/>
      <c r="BS98" s="20"/>
      <c r="BT98" s="20"/>
      <c r="BU98" s="20"/>
      <c r="BV98" s="20"/>
      <c r="BW98" s="20"/>
      <c r="BX98" s="20"/>
      <c r="BY98" s="20"/>
      <c r="BZ98" s="20"/>
      <c r="CA98" s="20"/>
      <c r="CB98" s="20"/>
      <c r="CC98" s="20"/>
      <c r="CD98" s="20"/>
      <c r="CE98" s="19"/>
      <c r="CF98" s="19"/>
      <c r="CG98" s="20"/>
      <c r="CH98" s="20"/>
      <c r="CI98" s="20"/>
      <c r="CJ98" s="20"/>
      <c r="CK98" s="20"/>
      <c r="CL98" s="20"/>
      <c r="CM98" s="20"/>
      <c r="CN98" s="20"/>
      <c r="CO98" s="20"/>
    </row>
    <row r="99" spans="2:93" ht="15" customHeight="1">
      <c r="B99" s="122"/>
      <c r="C99" s="181"/>
      <c r="D99" s="92"/>
      <c r="E99" s="85"/>
      <c r="Q99" s="109" t="str">
        <f>Q87</f>
        <v>Novillos invernada</v>
      </c>
      <c r="R99" s="641">
        <v>0</v>
      </c>
      <c r="S99" s="641">
        <v>0</v>
      </c>
      <c r="T99" s="641">
        <v>0</v>
      </c>
      <c r="U99" s="280">
        <v>0</v>
      </c>
      <c r="V99" s="1032"/>
      <c r="Z99" s="41" t="s">
        <v>546</v>
      </c>
      <c r="AA99" s="99"/>
      <c r="AB99" s="1191" t="s">
        <v>547</v>
      </c>
      <c r="AC99" s="151">
        <v>0</v>
      </c>
      <c r="AD99" s="99"/>
      <c r="AE99" s="464"/>
      <c r="AF99" s="1303">
        <f>AN53+AN58</f>
        <v>0</v>
      </c>
      <c r="AG99" s="464">
        <f>AC99*(AN53+AN58)</f>
        <v>0</v>
      </c>
      <c r="AH99" s="1029"/>
      <c r="AT99" s="1059"/>
      <c r="BF99" s="145"/>
      <c r="BG99" s="1034"/>
      <c r="BH99" s="19"/>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19"/>
      <c r="CG99" s="20"/>
      <c r="CH99" s="20"/>
      <c r="CI99" s="20"/>
      <c r="CJ99" s="20"/>
      <c r="CK99" s="20"/>
      <c r="CL99" s="20"/>
      <c r="CM99" s="20"/>
      <c r="CN99" s="20"/>
      <c r="CO99" s="20"/>
    </row>
    <row r="100" spans="2:93" ht="15" customHeight="1">
      <c r="B100" s="122"/>
      <c r="C100" s="181"/>
      <c r="D100" s="117"/>
      <c r="E100" s="29"/>
      <c r="Q100" s="109" t="str">
        <f>Q88</f>
        <v>Novillitos invernada</v>
      </c>
      <c r="R100" s="641">
        <v>0</v>
      </c>
      <c r="S100" s="641">
        <v>0</v>
      </c>
      <c r="T100" s="641">
        <v>0</v>
      </c>
      <c r="U100" s="280">
        <v>0</v>
      </c>
      <c r="V100" s="1032"/>
      <c r="Z100" s="41" t="s">
        <v>548</v>
      </c>
      <c r="AA100" s="99"/>
      <c r="AB100" s="1191" t="s">
        <v>549</v>
      </c>
      <c r="AC100" s="387">
        <v>0</v>
      </c>
      <c r="AD100" s="1303">
        <f>$AN$35+$AN$36</f>
        <v>0</v>
      </c>
      <c r="AE100" s="464">
        <f>AC100*(AN35+AN36)</f>
        <v>0</v>
      </c>
      <c r="AG100" s="464"/>
      <c r="AH100" s="1057"/>
      <c r="AT100" s="1059"/>
      <c r="AX100" s="1028"/>
      <c r="BF100" s="145"/>
      <c r="BG100" s="1034"/>
      <c r="BH100" s="19"/>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19"/>
      <c r="CG100" s="20"/>
      <c r="CH100" s="20"/>
      <c r="CI100" s="20"/>
      <c r="CJ100" s="20"/>
      <c r="CK100" s="20"/>
      <c r="CL100" s="20"/>
      <c r="CM100" s="20"/>
      <c r="CN100" s="20"/>
      <c r="CO100" s="20"/>
    </row>
    <row r="101" spans="2:93" ht="15" customHeight="1">
      <c r="B101" s="122"/>
      <c r="C101" s="181"/>
      <c r="D101" s="117"/>
      <c r="E101" s="29"/>
      <c r="Q101" s="109" t="str">
        <f>Q89</f>
        <v>Terneros invernada</v>
      </c>
      <c r="R101" s="641">
        <v>0</v>
      </c>
      <c r="S101" s="641">
        <v>0</v>
      </c>
      <c r="T101" s="641">
        <v>0</v>
      </c>
      <c r="U101" s="280">
        <v>0</v>
      </c>
      <c r="V101" s="1032"/>
      <c r="Z101" s="1276" t="s">
        <v>550</v>
      </c>
      <c r="AA101" s="99"/>
      <c r="AB101" s="1191" t="s">
        <v>551</v>
      </c>
      <c r="AC101" s="387">
        <v>0</v>
      </c>
      <c r="AD101" s="1302">
        <f>$AN$35</f>
        <v>0</v>
      </c>
      <c r="AE101" s="464">
        <f>AC101*AN35</f>
        <v>0</v>
      </c>
      <c r="AG101" s="464"/>
      <c r="AH101" s="1057"/>
      <c r="AT101" s="1059"/>
      <c r="BF101" s="145"/>
      <c r="BG101" s="1034"/>
      <c r="BH101" s="19"/>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19"/>
      <c r="CG101" s="20"/>
      <c r="CH101" s="20"/>
      <c r="CI101" s="20"/>
      <c r="CJ101" s="20"/>
      <c r="CK101" s="20"/>
      <c r="CL101" s="20"/>
      <c r="CM101" s="20"/>
      <c r="CN101" s="20"/>
      <c r="CO101" s="20"/>
    </row>
    <row r="102" spans="2:93" ht="15" customHeight="1">
      <c r="B102" s="122"/>
      <c r="C102" s="181"/>
      <c r="D102" s="184"/>
      <c r="E102" s="43"/>
      <c r="Q102" s="109" t="str">
        <f>Q90</f>
        <v>Vaquillonas invernada</v>
      </c>
      <c r="R102" s="641">
        <v>0</v>
      </c>
      <c r="S102" s="641">
        <v>0</v>
      </c>
      <c r="T102" s="641">
        <v>0</v>
      </c>
      <c r="U102" s="280">
        <v>0</v>
      </c>
      <c r="V102" s="1032"/>
      <c r="W102" s="1033"/>
      <c r="Z102" s="1276" t="s">
        <v>552</v>
      </c>
      <c r="AA102" s="99"/>
      <c r="AB102" s="1191" t="s">
        <v>549</v>
      </c>
      <c r="AC102" s="388">
        <v>0</v>
      </c>
      <c r="AD102" s="1304">
        <f>$AN$35+$AN$36</f>
        <v>0</v>
      </c>
      <c r="AE102" s="464">
        <f>AC102*(AN35+AN36)</f>
        <v>0</v>
      </c>
      <c r="AG102" s="464"/>
      <c r="AH102" s="1057"/>
      <c r="AT102" s="1059"/>
      <c r="BF102" s="145"/>
      <c r="BG102" s="1034"/>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19"/>
      <c r="CH102" s="20"/>
      <c r="CI102" s="20"/>
      <c r="CJ102" s="20"/>
      <c r="CK102" s="20"/>
      <c r="CL102" s="20"/>
      <c r="CM102" s="20"/>
      <c r="CN102" s="20"/>
      <c r="CO102" s="20"/>
    </row>
    <row r="103" spans="4:93" ht="15" customHeight="1">
      <c r="D103" s="21"/>
      <c r="Q103" s="109" t="str">
        <f>Q91</f>
        <v>Vacas invernada</v>
      </c>
      <c r="R103" s="641">
        <v>0</v>
      </c>
      <c r="S103" s="641">
        <v>0</v>
      </c>
      <c r="T103" s="641">
        <v>0</v>
      </c>
      <c r="U103" s="280">
        <v>0</v>
      </c>
      <c r="V103" s="1032"/>
      <c r="Z103" s="1276" t="s">
        <v>553</v>
      </c>
      <c r="AA103" s="99"/>
      <c r="AB103" s="1191" t="s">
        <v>551</v>
      </c>
      <c r="AC103" s="388">
        <v>0</v>
      </c>
      <c r="AD103" s="1305">
        <f>$AN$35</f>
        <v>0</v>
      </c>
      <c r="AE103" s="464">
        <f>AC103*AN35</f>
        <v>0</v>
      </c>
      <c r="AG103" s="464"/>
      <c r="AH103" s="1057"/>
      <c r="AT103" s="1059"/>
      <c r="BF103" s="145"/>
      <c r="BG103" s="1034"/>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19"/>
      <c r="CH103" s="20"/>
      <c r="CI103" s="20"/>
      <c r="CJ103" s="20"/>
      <c r="CK103" s="20"/>
      <c r="CL103" s="20"/>
      <c r="CM103" s="20"/>
      <c r="CN103" s="20"/>
      <c r="CO103" s="20"/>
    </row>
    <row r="104" spans="4:93" ht="15" customHeight="1">
      <c r="D104" s="21"/>
      <c r="Q104" s="77" t="s">
        <v>501</v>
      </c>
      <c r="R104" s="434">
        <f>SUM(R99:R103)</f>
        <v>0</v>
      </c>
      <c r="S104" s="434">
        <f>SUM(S99:S103)</f>
        <v>0</v>
      </c>
      <c r="T104" s="434">
        <f>SUM(T99:T103)</f>
        <v>0</v>
      </c>
      <c r="U104" s="422">
        <f>SUM(U99:U103)</f>
        <v>0</v>
      </c>
      <c r="V104" s="1032"/>
      <c r="Z104" s="1276" t="s">
        <v>554</v>
      </c>
      <c r="AA104" s="99"/>
      <c r="AB104" s="1191" t="s">
        <v>551</v>
      </c>
      <c r="AC104" s="388">
        <v>0</v>
      </c>
      <c r="AD104" s="1305">
        <f>$AN$35</f>
        <v>0</v>
      </c>
      <c r="AE104" s="464">
        <f>AC104*AN35</f>
        <v>0</v>
      </c>
      <c r="AG104" s="464"/>
      <c r="AH104" s="1057"/>
      <c r="AT104" s="1059"/>
      <c r="BF104" s="145"/>
      <c r="BG104" s="1034"/>
      <c r="BH104" s="19"/>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19"/>
      <c r="CH104" s="20"/>
      <c r="CI104" s="20"/>
      <c r="CJ104" s="20"/>
      <c r="CK104" s="20"/>
      <c r="CL104" s="20"/>
      <c r="CM104" s="20"/>
      <c r="CN104" s="20"/>
      <c r="CO104" s="20"/>
    </row>
    <row r="105" spans="4:93" ht="15" customHeight="1">
      <c r="D105" s="21"/>
      <c r="Q105" s="121" t="s">
        <v>502</v>
      </c>
      <c r="R105" s="105"/>
      <c r="S105" s="105"/>
      <c r="T105" s="105"/>
      <c r="U105" s="435">
        <f>R75+R76+R77</f>
        <v>0</v>
      </c>
      <c r="V105" s="1032"/>
      <c r="Z105" s="1276" t="s">
        <v>555</v>
      </c>
      <c r="AA105" s="99"/>
      <c r="AB105" s="1191" t="s">
        <v>551</v>
      </c>
      <c r="AC105" s="388">
        <v>0</v>
      </c>
      <c r="AD105" s="1305">
        <f>$AN$35</f>
        <v>0</v>
      </c>
      <c r="AE105" s="464">
        <f>AC105*AN35</f>
        <v>0</v>
      </c>
      <c r="AG105" s="464"/>
      <c r="AH105" s="1057"/>
      <c r="AT105" s="1059"/>
      <c r="BF105" s="145"/>
      <c r="BG105" s="1034"/>
      <c r="BH105" s="19"/>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row>
    <row r="106" spans="4:93" ht="15" customHeight="1">
      <c r="D106" s="21"/>
      <c r="N106" s="20"/>
      <c r="P106" s="1057"/>
      <c r="Q106" s="121" t="s">
        <v>503</v>
      </c>
      <c r="R106" s="105"/>
      <c r="S106" s="105"/>
      <c r="T106" s="105"/>
      <c r="U106" s="108" t="s">
        <v>504</v>
      </c>
      <c r="V106" s="1032"/>
      <c r="Z106" s="1264" t="s">
        <v>556</v>
      </c>
      <c r="AA106" s="29"/>
      <c r="AB106" s="1192"/>
      <c r="AC106" s="139"/>
      <c r="AD106" s="1444" t="s">
        <v>557</v>
      </c>
      <c r="AE106" s="13"/>
      <c r="AG106" s="13"/>
      <c r="AH106" s="1057"/>
      <c r="AT106" s="1059"/>
      <c r="BG106" s="1034"/>
      <c r="BH106" s="19"/>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19"/>
      <c r="CF106" s="19"/>
      <c r="CG106" s="20"/>
      <c r="CH106" s="20"/>
      <c r="CI106" s="20"/>
      <c r="CJ106" s="20"/>
      <c r="CK106" s="20"/>
      <c r="CL106" s="20"/>
      <c r="CM106" s="20"/>
      <c r="CN106" s="20"/>
      <c r="CO106" s="20"/>
    </row>
    <row r="107" spans="4:93" ht="15" customHeight="1">
      <c r="D107" s="21"/>
      <c r="Q107" s="77" t="s">
        <v>505</v>
      </c>
      <c r="T107" s="81" t="s">
        <v>506</v>
      </c>
      <c r="U107" s="422">
        <f>T104</f>
        <v>0</v>
      </c>
      <c r="V107" s="1032"/>
      <c r="Z107" s="41" t="s">
        <v>1178</v>
      </c>
      <c r="AA107" s="137"/>
      <c r="AB107" s="1193">
        <v>0</v>
      </c>
      <c r="AC107" s="172" t="s">
        <v>419</v>
      </c>
      <c r="AD107" s="1445">
        <f>'Información General'!F41+'Información General'!F42+'Información General'!F43+'Información General'!F44</f>
        <v>0</v>
      </c>
      <c r="AE107" s="422">
        <f>AB107*E9/100</f>
        <v>0</v>
      </c>
      <c r="AG107" s="422"/>
      <c r="AH107" s="1057"/>
      <c r="AT107" s="1059"/>
      <c r="BG107" s="46"/>
      <c r="BH107" s="19"/>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19"/>
      <c r="CG107" s="20"/>
      <c r="CH107" s="20"/>
      <c r="CI107" s="20"/>
      <c r="CJ107" s="20"/>
      <c r="CK107" s="20"/>
      <c r="CL107" s="20"/>
      <c r="CM107" s="20"/>
      <c r="CN107" s="20"/>
      <c r="CO107" s="20"/>
    </row>
    <row r="108" spans="4:93" ht="15" customHeight="1">
      <c r="D108" s="21"/>
      <c r="Q108" s="77" t="s">
        <v>508</v>
      </c>
      <c r="T108" s="81" t="s">
        <v>506</v>
      </c>
      <c r="U108" s="422">
        <f>U104</f>
        <v>0</v>
      </c>
      <c r="V108" s="1032"/>
      <c r="Z108" s="32"/>
      <c r="AA108" s="99"/>
      <c r="AB108" s="1170"/>
      <c r="AC108" s="172"/>
      <c r="AD108" s="1444" t="s">
        <v>557</v>
      </c>
      <c r="AE108" s="151"/>
      <c r="AF108" s="1444" t="s">
        <v>557</v>
      </c>
      <c r="AG108" s="151"/>
      <c r="AH108" s="1057"/>
      <c r="AT108" s="1059"/>
      <c r="BG108" s="46"/>
      <c r="BH108" s="19"/>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19"/>
      <c r="CG108" s="20"/>
      <c r="CH108" s="20"/>
      <c r="CI108" s="20"/>
      <c r="CJ108" s="20"/>
      <c r="CK108" s="20"/>
      <c r="CL108" s="20"/>
      <c r="CM108" s="20"/>
      <c r="CN108" s="20"/>
      <c r="CO108" s="20"/>
    </row>
    <row r="109" spans="4:84" ht="15" customHeight="1">
      <c r="D109" s="21"/>
      <c r="N109" s="122"/>
      <c r="Q109" s="268" t="s">
        <v>509</v>
      </c>
      <c r="R109" s="168"/>
      <c r="S109" s="168"/>
      <c r="T109" s="135" t="s">
        <v>419</v>
      </c>
      <c r="U109" s="436">
        <f>IF((SUM(U62:U66))=0,0,+U108*650/SUM(U62:U66))</f>
        <v>0</v>
      </c>
      <c r="V109" s="1032"/>
      <c r="Z109" s="32" t="s">
        <v>1179</v>
      </c>
      <c r="AA109" s="92"/>
      <c r="AB109" s="1170"/>
      <c r="AC109" s="172"/>
      <c r="AD109" s="1446">
        <f>'Información General'!F47+'Información General'!F48+'Información General'!F49</f>
        <v>0</v>
      </c>
      <c r="AE109" s="151">
        <v>0</v>
      </c>
      <c r="AF109" s="1447">
        <f>'Información General'!F51+'Información General'!F52</f>
        <v>0</v>
      </c>
      <c r="AG109" s="1301">
        <v>0</v>
      </c>
      <c r="AH109" s="1057"/>
      <c r="AI109" s="20"/>
      <c r="AJ109" s="20"/>
      <c r="AL109" s="20"/>
      <c r="AM109" s="34"/>
      <c r="AN109" s="34"/>
      <c r="AO109" s="34"/>
      <c r="AP109" s="34"/>
      <c r="AQ109" s="34"/>
      <c r="AR109" s="34"/>
      <c r="AS109" s="34"/>
      <c r="AT109" s="1057"/>
      <c r="BO109" s="20"/>
      <c r="BP109" s="20"/>
      <c r="BQ109" s="20"/>
      <c r="BR109" s="20"/>
      <c r="BS109" s="20"/>
      <c r="CF109" s="20"/>
    </row>
    <row r="110" spans="4:84" ht="15" customHeight="1">
      <c r="D110" s="21"/>
      <c r="N110" s="85"/>
      <c r="U110" s="133"/>
      <c r="V110" s="1031"/>
      <c r="Z110" s="32" t="s">
        <v>1180</v>
      </c>
      <c r="AA110" s="92"/>
      <c r="AB110" s="1170"/>
      <c r="AC110" s="172"/>
      <c r="AD110" s="1447">
        <f>'Información General'!F45+'Información General'!F46</f>
        <v>0</v>
      </c>
      <c r="AE110" s="151">
        <v>0</v>
      </c>
      <c r="AF110" s="1447">
        <f>'Información General'!F50</f>
        <v>0</v>
      </c>
      <c r="AG110" s="1301">
        <v>0</v>
      </c>
      <c r="AH110" s="1442"/>
      <c r="AI110" s="34"/>
      <c r="AJ110" s="34"/>
      <c r="AL110" s="20"/>
      <c r="AM110" s="20"/>
      <c r="AN110" s="34"/>
      <c r="AO110" s="34"/>
      <c r="AP110" s="34"/>
      <c r="AQ110" s="34"/>
      <c r="AR110" s="34"/>
      <c r="AS110" s="34"/>
      <c r="AT110" s="1057"/>
      <c r="BO110" s="20"/>
      <c r="BP110" s="20"/>
      <c r="BQ110" s="20"/>
      <c r="BR110" s="20"/>
      <c r="BS110" s="20"/>
      <c r="CF110" s="20"/>
    </row>
    <row r="111" spans="4:84" ht="15" customHeight="1">
      <c r="D111" s="21"/>
      <c r="E111" s="81"/>
      <c r="N111" s="46"/>
      <c r="U111" s="133"/>
      <c r="V111" s="1031"/>
      <c r="Z111" s="16"/>
      <c r="AB111" s="1170"/>
      <c r="AC111" s="172"/>
      <c r="AE111" s="13"/>
      <c r="AH111" s="1442"/>
      <c r="AI111" s="34"/>
      <c r="AJ111" s="34"/>
      <c r="AL111" s="20"/>
      <c r="AM111" s="34"/>
      <c r="AN111" s="34"/>
      <c r="AO111" s="34"/>
      <c r="AP111" s="34"/>
      <c r="AQ111" s="34"/>
      <c r="AR111" s="34"/>
      <c r="AS111" s="34"/>
      <c r="AT111" s="1057"/>
      <c r="BO111" s="20"/>
      <c r="BP111" s="20"/>
      <c r="BQ111" s="20"/>
      <c r="BR111" s="20"/>
      <c r="BS111" s="20"/>
      <c r="CF111" s="20"/>
    </row>
    <row r="112" spans="4:71" ht="15" customHeight="1">
      <c r="D112" s="21"/>
      <c r="E112" s="81"/>
      <c r="N112" s="20"/>
      <c r="U112" s="133"/>
      <c r="V112" s="1031"/>
      <c r="Z112" s="1264" t="s">
        <v>558</v>
      </c>
      <c r="AA112" s="99"/>
      <c r="AB112" s="1190"/>
      <c r="AC112" s="114"/>
      <c r="AD112" s="1440"/>
      <c r="AE112" s="180"/>
      <c r="AF112" s="16"/>
      <c r="AG112" s="1441"/>
      <c r="AH112" s="1442"/>
      <c r="AI112" s="34"/>
      <c r="AJ112" s="34"/>
      <c r="AL112" s="20"/>
      <c r="AM112" s="20"/>
      <c r="AN112" s="34"/>
      <c r="AO112" s="34"/>
      <c r="AP112" s="34"/>
      <c r="AQ112" s="34"/>
      <c r="AR112" s="34"/>
      <c r="AS112" s="34"/>
      <c r="AT112" s="1057"/>
      <c r="BO112" s="20"/>
      <c r="BP112" s="20"/>
      <c r="BQ112" s="20"/>
      <c r="BR112" s="20"/>
      <c r="BS112" s="20"/>
    </row>
    <row r="113" spans="4:71" ht="15" customHeight="1">
      <c r="D113" s="21"/>
      <c r="E113" s="81"/>
      <c r="N113" s="19"/>
      <c r="U113" s="133"/>
      <c r="Z113" s="32" t="s">
        <v>559</v>
      </c>
      <c r="AA113" s="122"/>
      <c r="AB113" s="1191" t="s">
        <v>419</v>
      </c>
      <c r="AC113" s="385">
        <v>0</v>
      </c>
      <c r="AD113" s="1288">
        <v>0</v>
      </c>
      <c r="AE113" s="463">
        <f>(AC22+AC37)*AC113*AD113</f>
        <v>0</v>
      </c>
      <c r="AF113" s="16"/>
      <c r="AG113" s="505"/>
      <c r="AH113" s="1442"/>
      <c r="AI113" s="34"/>
      <c r="AJ113" s="34"/>
      <c r="AL113" s="20"/>
      <c r="AM113" s="20"/>
      <c r="AN113" s="34"/>
      <c r="AO113" s="34"/>
      <c r="AP113" s="34"/>
      <c r="AQ113" s="34"/>
      <c r="AR113" s="34"/>
      <c r="AS113" s="34"/>
      <c r="AT113" s="1057"/>
      <c r="BO113" s="20"/>
      <c r="BP113" s="20"/>
      <c r="BQ113" s="20"/>
      <c r="BR113" s="20"/>
      <c r="BS113" s="20"/>
    </row>
    <row r="114" spans="4:71" ht="15" customHeight="1">
      <c r="D114" s="21"/>
      <c r="E114" s="81"/>
      <c r="N114" s="46"/>
      <c r="U114" s="133"/>
      <c r="Z114" s="32" t="s">
        <v>560</v>
      </c>
      <c r="AA114" s="99"/>
      <c r="AB114" s="1191" t="s">
        <v>419</v>
      </c>
      <c r="AC114" s="385">
        <v>0</v>
      </c>
      <c r="AD114" s="16"/>
      <c r="AE114" s="463">
        <v>0</v>
      </c>
      <c r="AF114" s="1288">
        <v>0</v>
      </c>
      <c r="AG114" s="505">
        <f>(AG22+AG37)*AF114*AC114</f>
        <v>0</v>
      </c>
      <c r="AH114" s="1442"/>
      <c r="AI114" s="34"/>
      <c r="AJ114" s="34"/>
      <c r="AL114" s="20"/>
      <c r="AM114" s="34"/>
      <c r="AN114" s="34"/>
      <c r="AO114" s="34"/>
      <c r="AP114" s="34"/>
      <c r="AQ114" s="34"/>
      <c r="AR114" s="34"/>
      <c r="AS114" s="34"/>
      <c r="AT114" s="1057"/>
      <c r="BO114" s="20"/>
      <c r="BP114" s="20"/>
      <c r="BQ114" s="20"/>
      <c r="BR114" s="20"/>
      <c r="BS114" s="20"/>
    </row>
    <row r="115" spans="4:71" ht="15" customHeight="1">
      <c r="D115" s="21"/>
      <c r="E115" s="81"/>
      <c r="N115" s="46"/>
      <c r="U115" s="133"/>
      <c r="Z115" s="16"/>
      <c r="AD115" s="16"/>
      <c r="AF115" s="16"/>
      <c r="AH115" s="1442"/>
      <c r="AI115" s="34"/>
      <c r="AJ115" s="34"/>
      <c r="AL115" s="20"/>
      <c r="AM115" s="34"/>
      <c r="AN115" s="34"/>
      <c r="AO115" s="34"/>
      <c r="AP115" s="34"/>
      <c r="AQ115" s="34"/>
      <c r="AR115" s="34"/>
      <c r="AS115" s="34"/>
      <c r="AT115" s="1057"/>
      <c r="BO115" s="20"/>
      <c r="BP115" s="20"/>
      <c r="BQ115" s="20"/>
      <c r="BR115" s="20"/>
      <c r="BS115" s="20"/>
    </row>
    <row r="116" spans="4:71" ht="15" customHeight="1">
      <c r="D116" s="21"/>
      <c r="E116" s="81"/>
      <c r="N116" s="122"/>
      <c r="O116" s="1059"/>
      <c r="U116" s="133"/>
      <c r="X116" s="133"/>
      <c r="Z116" s="239" t="s">
        <v>561</v>
      </c>
      <c r="AA116" s="99"/>
      <c r="AB116" s="1190"/>
      <c r="AC116" s="99"/>
      <c r="AD116" s="16"/>
      <c r="AE116" s="422"/>
      <c r="AF116" s="16"/>
      <c r="AG116" s="99"/>
      <c r="AH116" s="1442"/>
      <c r="AI116" s="34"/>
      <c r="AJ116" s="34"/>
      <c r="AL116" s="20"/>
      <c r="AM116" s="20"/>
      <c r="AN116" s="34"/>
      <c r="AO116" s="20"/>
      <c r="AP116" s="34"/>
      <c r="AQ116" s="20"/>
      <c r="AR116" s="34"/>
      <c r="AS116" s="20"/>
      <c r="AT116" s="1057"/>
      <c r="BO116" s="20"/>
      <c r="BP116" s="20"/>
      <c r="BQ116" s="20"/>
      <c r="BR116" s="20"/>
      <c r="BS116" s="20"/>
    </row>
    <row r="117" spans="4:71" ht="15" customHeight="1">
      <c r="D117" s="21"/>
      <c r="E117" s="81"/>
      <c r="N117" s="122"/>
      <c r="O117" s="1031"/>
      <c r="U117" s="133"/>
      <c r="X117" s="133"/>
      <c r="Z117" s="270" t="s">
        <v>562</v>
      </c>
      <c r="AA117" s="99"/>
      <c r="AB117" s="1190"/>
      <c r="AC117" s="99"/>
      <c r="AD117" s="16"/>
      <c r="AE117" s="422"/>
      <c r="AF117" s="16"/>
      <c r="AG117" s="1271">
        <v>0</v>
      </c>
      <c r="AH117" s="1442"/>
      <c r="AI117" s="34"/>
      <c r="AJ117" s="34"/>
      <c r="AL117" s="20"/>
      <c r="AM117" s="20"/>
      <c r="AN117" s="34"/>
      <c r="AO117" s="34"/>
      <c r="AP117" s="34"/>
      <c r="AQ117" s="34"/>
      <c r="AR117" s="34"/>
      <c r="AS117" s="34"/>
      <c r="AT117" s="1057"/>
      <c r="BO117" s="20"/>
      <c r="BP117" s="20"/>
      <c r="BQ117" s="20"/>
      <c r="BR117" s="20"/>
      <c r="BS117" s="20"/>
    </row>
    <row r="118" spans="4:71" ht="15" customHeight="1">
      <c r="D118" s="21"/>
      <c r="E118" s="81"/>
      <c r="N118" s="85"/>
      <c r="O118" s="1031"/>
      <c r="U118" s="133"/>
      <c r="X118" s="133"/>
      <c r="Z118" s="270" t="s">
        <v>562</v>
      </c>
      <c r="AA118" s="99"/>
      <c r="AB118" s="1190"/>
      <c r="AC118" s="99"/>
      <c r="AD118" s="16"/>
      <c r="AE118" s="422"/>
      <c r="AF118" s="16"/>
      <c r="AG118" s="1271">
        <v>0</v>
      </c>
      <c r="AH118" s="1442"/>
      <c r="AI118" s="34"/>
      <c r="AJ118" s="34"/>
      <c r="AL118" s="20"/>
      <c r="AM118" s="20"/>
      <c r="AN118" s="34"/>
      <c r="AO118" s="20"/>
      <c r="AP118" s="34"/>
      <c r="AQ118" s="20"/>
      <c r="AR118" s="34"/>
      <c r="AS118" s="20"/>
      <c r="AT118" s="1057"/>
      <c r="BO118" s="20"/>
      <c r="BP118" s="20"/>
      <c r="BQ118" s="20"/>
      <c r="BR118" s="20"/>
      <c r="BS118" s="20"/>
    </row>
    <row r="119" spans="4:71" ht="15" customHeight="1">
      <c r="D119" s="21"/>
      <c r="E119" s="81"/>
      <c r="N119" s="85"/>
      <c r="O119" s="1031"/>
      <c r="U119" s="133"/>
      <c r="X119" s="133"/>
      <c r="Z119" s="239" t="s">
        <v>563</v>
      </c>
      <c r="AD119" s="16"/>
      <c r="AE119" s="13"/>
      <c r="AF119" s="16"/>
      <c r="AG119" s="99"/>
      <c r="AH119" s="1442"/>
      <c r="AI119" s="34"/>
      <c r="AJ119" s="34"/>
      <c r="AL119" s="20"/>
      <c r="AM119" s="20"/>
      <c r="AN119" s="34"/>
      <c r="AO119" s="34"/>
      <c r="AP119" s="34"/>
      <c r="AQ119" s="34"/>
      <c r="AR119" s="34"/>
      <c r="AS119" s="34"/>
      <c r="AT119" s="1057"/>
      <c r="BO119" s="20"/>
      <c r="BP119" s="20"/>
      <c r="BQ119" s="20"/>
      <c r="BR119" s="20"/>
      <c r="BS119" s="20"/>
    </row>
    <row r="120" spans="4:71" ht="15" customHeight="1">
      <c r="D120" s="21"/>
      <c r="E120" s="81"/>
      <c r="N120" s="85"/>
      <c r="O120" s="1031"/>
      <c r="U120" s="133"/>
      <c r="X120" s="133"/>
      <c r="Z120" s="270" t="s">
        <v>562</v>
      </c>
      <c r="AA120" s="99"/>
      <c r="AB120" s="1190"/>
      <c r="AC120" s="99"/>
      <c r="AD120" s="16"/>
      <c r="AE120" s="1275">
        <v>0</v>
      </c>
      <c r="AF120" s="16"/>
      <c r="AG120" s="481"/>
      <c r="AH120" s="1443"/>
      <c r="AI120" s="20"/>
      <c r="AJ120" s="20"/>
      <c r="AL120" s="20"/>
      <c r="AM120" s="20"/>
      <c r="AN120" s="34"/>
      <c r="AO120" s="34"/>
      <c r="AP120" s="34"/>
      <c r="AQ120" s="34"/>
      <c r="AR120" s="34"/>
      <c r="AS120" s="34"/>
      <c r="AT120" s="1057"/>
      <c r="BO120" s="20"/>
      <c r="BP120" s="20"/>
      <c r="BQ120" s="20"/>
      <c r="BR120" s="20"/>
      <c r="BS120" s="20"/>
    </row>
    <row r="121" spans="4:71" ht="15" customHeight="1">
      <c r="D121" s="21"/>
      <c r="E121" s="81"/>
      <c r="N121" s="85"/>
      <c r="O121" s="1031"/>
      <c r="U121" s="133"/>
      <c r="X121" s="133"/>
      <c r="Z121" s="270" t="s">
        <v>562</v>
      </c>
      <c r="AA121" s="1250"/>
      <c r="AB121" s="1251"/>
      <c r="AC121" s="388"/>
      <c r="AD121" s="89"/>
      <c r="AE121" s="1275">
        <v>0</v>
      </c>
      <c r="AF121" s="16"/>
      <c r="AG121" s="1286"/>
      <c r="AH121" s="1057"/>
      <c r="AI121" s="20"/>
      <c r="AJ121" s="20"/>
      <c r="AL121" s="20"/>
      <c r="AM121" s="20"/>
      <c r="AN121" s="34"/>
      <c r="AO121" s="34"/>
      <c r="AP121" s="34"/>
      <c r="AQ121" s="34"/>
      <c r="AR121" s="34"/>
      <c r="AS121" s="34"/>
      <c r="AT121" s="1057"/>
      <c r="BO121" s="20"/>
      <c r="BP121" s="20"/>
      <c r="BQ121" s="20"/>
      <c r="BR121" s="20"/>
      <c r="BS121" s="20"/>
    </row>
    <row r="122" spans="4:71" ht="15" customHeight="1">
      <c r="D122" s="21"/>
      <c r="E122" s="81"/>
      <c r="N122" s="85"/>
      <c r="O122" s="1031"/>
      <c r="U122" s="133"/>
      <c r="X122" s="133"/>
      <c r="Z122" s="272" t="s">
        <v>562</v>
      </c>
      <c r="AA122" s="386"/>
      <c r="AB122" s="1194"/>
      <c r="AC122" s="1277"/>
      <c r="AD122" s="359"/>
      <c r="AE122" s="1282">
        <v>0</v>
      </c>
      <c r="AF122" s="16"/>
      <c r="AG122" s="1287"/>
      <c r="AH122" s="1057"/>
      <c r="AI122" s="20"/>
      <c r="AJ122" s="20"/>
      <c r="AL122" s="20"/>
      <c r="AM122" s="20"/>
      <c r="AN122" s="34"/>
      <c r="AO122" s="34"/>
      <c r="AP122" s="34"/>
      <c r="AQ122" s="34"/>
      <c r="AR122" s="34"/>
      <c r="AS122" s="34"/>
      <c r="AT122" s="1057"/>
      <c r="BO122" s="20"/>
      <c r="BP122" s="20"/>
      <c r="BQ122" s="20"/>
      <c r="BR122" s="20"/>
      <c r="BS122" s="20"/>
    </row>
    <row r="123" spans="4:71" ht="15" customHeight="1">
      <c r="D123" s="21"/>
      <c r="E123" s="81"/>
      <c r="N123" s="85"/>
      <c r="O123" s="1031"/>
      <c r="U123" s="133"/>
      <c r="X123" s="133"/>
      <c r="Z123" s="60" t="s">
        <v>564</v>
      </c>
      <c r="AA123" s="168"/>
      <c r="AB123" s="1195"/>
      <c r="AC123" s="1277"/>
      <c r="AD123" s="1285" t="s">
        <v>329</v>
      </c>
      <c r="AE123" s="1283">
        <f>SUM(AE59:AE122)-AE80</f>
        <v>0</v>
      </c>
      <c r="AF123" s="1289" t="s">
        <v>330</v>
      </c>
      <c r="AG123" s="1283">
        <f>SUM(AG59:AG122)-AG91</f>
        <v>0</v>
      </c>
      <c r="AH123" s="1057"/>
      <c r="AI123" s="20"/>
      <c r="AJ123" s="20"/>
      <c r="AL123" s="20"/>
      <c r="AM123" s="20"/>
      <c r="AN123" s="34"/>
      <c r="AO123" s="34"/>
      <c r="AP123" s="34"/>
      <c r="AQ123" s="34"/>
      <c r="AR123" s="34"/>
      <c r="AS123" s="34"/>
      <c r="AT123" s="1057"/>
      <c r="BO123" s="20"/>
      <c r="BP123" s="20"/>
      <c r="BQ123" s="20"/>
      <c r="BR123" s="20"/>
      <c r="BS123" s="20"/>
    </row>
    <row r="124" spans="4:71" ht="15" customHeight="1">
      <c r="D124" s="21"/>
      <c r="E124" s="81"/>
      <c r="N124" s="85"/>
      <c r="O124" s="1031"/>
      <c r="U124" s="133"/>
      <c r="X124" s="133"/>
      <c r="Z124" s="186" t="s">
        <v>565</v>
      </c>
      <c r="AA124" s="51"/>
      <c r="AB124" s="156"/>
      <c r="AC124" s="51"/>
      <c r="AD124" s="51"/>
      <c r="AE124" s="51"/>
      <c r="AF124" s="1278"/>
      <c r="AG124" s="160">
        <f>AE123+AG123</f>
        <v>0</v>
      </c>
      <c r="AH124" s="1057"/>
      <c r="AI124" s="20"/>
      <c r="AJ124" s="20"/>
      <c r="AL124" s="20"/>
      <c r="AM124" s="34"/>
      <c r="AN124" s="34"/>
      <c r="AO124" s="20"/>
      <c r="AP124" s="34"/>
      <c r="AQ124" s="20"/>
      <c r="AR124" s="34"/>
      <c r="AS124" s="20"/>
      <c r="AT124" s="1057"/>
      <c r="BO124" s="20"/>
      <c r="BP124" s="20"/>
      <c r="BQ124" s="20"/>
      <c r="BR124" s="20"/>
      <c r="BS124" s="20"/>
    </row>
    <row r="125" spans="4:71" ht="15" customHeight="1">
      <c r="D125" s="21"/>
      <c r="E125" s="81"/>
      <c r="N125" s="85"/>
      <c r="O125" s="1031"/>
      <c r="X125" s="133"/>
      <c r="AH125" s="1057"/>
      <c r="AI125" s="20"/>
      <c r="AJ125" s="20"/>
      <c r="AL125" s="20"/>
      <c r="AM125" s="20"/>
      <c r="AN125" s="34"/>
      <c r="AO125" s="34"/>
      <c r="AP125" s="34"/>
      <c r="AQ125" s="34"/>
      <c r="AR125" s="34"/>
      <c r="AS125" s="34"/>
      <c r="AT125" s="1057"/>
      <c r="BO125" s="20"/>
      <c r="BP125" s="20"/>
      <c r="BQ125" s="20"/>
      <c r="BR125" s="20"/>
      <c r="BS125" s="20"/>
    </row>
    <row r="126" spans="4:71" ht="15" customHeight="1">
      <c r="D126" s="21"/>
      <c r="E126" s="81"/>
      <c r="N126" s="85"/>
      <c r="O126" s="1031"/>
      <c r="X126" s="133"/>
      <c r="AH126" s="1057"/>
      <c r="AI126" s="20"/>
      <c r="AJ126" s="20"/>
      <c r="AL126" s="20"/>
      <c r="AM126" s="20"/>
      <c r="AN126" s="34"/>
      <c r="AO126" s="34"/>
      <c r="AP126" s="34"/>
      <c r="AQ126" s="34"/>
      <c r="AR126" s="34"/>
      <c r="AS126" s="34"/>
      <c r="AT126" s="1057"/>
      <c r="BO126" s="20"/>
      <c r="BP126" s="20"/>
      <c r="BQ126" s="20"/>
      <c r="BR126" s="20"/>
      <c r="BS126" s="20"/>
    </row>
    <row r="127" spans="4:71" ht="15" customHeight="1">
      <c r="D127" s="21"/>
      <c r="E127" s="81"/>
      <c r="N127" s="85"/>
      <c r="O127" s="1031"/>
      <c r="X127" s="133"/>
      <c r="AH127" s="1057"/>
      <c r="AI127" s="20"/>
      <c r="AJ127" s="20"/>
      <c r="AL127" s="20"/>
      <c r="AM127" s="20"/>
      <c r="AN127" s="34"/>
      <c r="AO127" s="34"/>
      <c r="AP127" s="34"/>
      <c r="AQ127" s="34"/>
      <c r="AR127" s="34"/>
      <c r="AS127" s="34"/>
      <c r="AT127" s="1057"/>
      <c r="BO127" s="20"/>
      <c r="BP127" s="20"/>
      <c r="BQ127" s="20"/>
      <c r="BR127" s="20"/>
      <c r="BS127" s="20"/>
    </row>
    <row r="128" spans="4:71" ht="15" customHeight="1">
      <c r="D128" s="21"/>
      <c r="E128" s="81"/>
      <c r="N128" s="85"/>
      <c r="O128" s="1031"/>
      <c r="X128" s="133"/>
      <c r="AH128" s="1057"/>
      <c r="AI128" s="20"/>
      <c r="AJ128" s="20"/>
      <c r="AL128" s="20"/>
      <c r="AM128" s="20"/>
      <c r="AN128" s="34"/>
      <c r="AO128" s="34"/>
      <c r="AP128" s="34"/>
      <c r="AQ128" s="34"/>
      <c r="AR128" s="34"/>
      <c r="AS128" s="34"/>
      <c r="AT128" s="1057"/>
      <c r="BO128" s="20"/>
      <c r="BP128" s="20"/>
      <c r="BQ128" s="20"/>
      <c r="BR128" s="20"/>
      <c r="BS128" s="20"/>
    </row>
    <row r="129" spans="4:71" ht="15" customHeight="1">
      <c r="D129" s="21"/>
      <c r="E129" s="81"/>
      <c r="N129" s="85"/>
      <c r="O129" s="1031"/>
      <c r="X129" s="133"/>
      <c r="AB129" s="1182"/>
      <c r="AC129" s="20"/>
      <c r="AD129" s="20"/>
      <c r="AE129" s="20"/>
      <c r="AF129" s="20"/>
      <c r="AG129" s="20"/>
      <c r="AH129" s="1057"/>
      <c r="AI129" s="20"/>
      <c r="AJ129" s="20"/>
      <c r="AL129" s="20"/>
      <c r="AM129" s="34"/>
      <c r="AN129" s="34"/>
      <c r="AO129" s="20"/>
      <c r="AP129" s="34"/>
      <c r="AQ129" s="20"/>
      <c r="AR129" s="34"/>
      <c r="AS129" s="20"/>
      <c r="AT129" s="1057"/>
      <c r="BO129" s="20"/>
      <c r="BP129" s="20"/>
      <c r="BQ129" s="20"/>
      <c r="BR129" s="20"/>
      <c r="BS129" s="20"/>
    </row>
    <row r="130" spans="4:71" ht="15" customHeight="1">
      <c r="D130" s="21"/>
      <c r="E130" s="81"/>
      <c r="N130" s="85"/>
      <c r="O130" s="1031"/>
      <c r="X130" s="133"/>
      <c r="Z130" s="245"/>
      <c r="AA130" s="241"/>
      <c r="AB130" s="1270"/>
      <c r="AC130" s="114"/>
      <c r="AD130" s="1271"/>
      <c r="AE130" s="1271"/>
      <c r="AF130" s="1034"/>
      <c r="AG130" s="1271"/>
      <c r="AH130" s="1029"/>
      <c r="AI130" s="34"/>
      <c r="AJ130" s="34"/>
      <c r="AL130" s="20"/>
      <c r="AM130" s="20"/>
      <c r="AN130" s="34"/>
      <c r="AO130" s="34"/>
      <c r="AP130" s="34"/>
      <c r="AQ130" s="34"/>
      <c r="AR130" s="34"/>
      <c r="AS130" s="34"/>
      <c r="AT130" s="1057"/>
      <c r="BO130" s="20"/>
      <c r="BP130" s="20"/>
      <c r="BQ130" s="20"/>
      <c r="BR130" s="20"/>
      <c r="BS130" s="20"/>
    </row>
    <row r="131" spans="4:71" ht="15" customHeight="1">
      <c r="D131" s="21"/>
      <c r="E131" s="81"/>
      <c r="N131" s="85"/>
      <c r="O131" s="1031"/>
      <c r="X131" s="133"/>
      <c r="Z131" s="122"/>
      <c r="AA131" s="241"/>
      <c r="AB131" s="1270"/>
      <c r="AC131" s="140"/>
      <c r="AD131" s="122"/>
      <c r="AE131" s="1271"/>
      <c r="AF131" s="1034"/>
      <c r="AG131" s="1271"/>
      <c r="AH131" s="1029"/>
      <c r="AI131" s="34"/>
      <c r="AJ131" s="34"/>
      <c r="AL131" s="20"/>
      <c r="AM131" s="20"/>
      <c r="AN131" s="34"/>
      <c r="AO131" s="34"/>
      <c r="AP131" s="34"/>
      <c r="AQ131" s="34"/>
      <c r="AR131" s="34"/>
      <c r="AS131" s="34"/>
      <c r="AT131" s="1057"/>
      <c r="BO131" s="20"/>
      <c r="BP131" s="20"/>
      <c r="BQ131" s="20"/>
      <c r="BR131" s="20"/>
      <c r="BS131" s="20"/>
    </row>
    <row r="132" spans="4:71" ht="15" customHeight="1">
      <c r="D132" s="21"/>
      <c r="E132" s="81"/>
      <c r="N132" s="85"/>
      <c r="O132" s="1031"/>
      <c r="Z132" s="122"/>
      <c r="AA132" s="241"/>
      <c r="AB132" s="1270"/>
      <c r="AC132" s="140"/>
      <c r="AD132" s="122"/>
      <c r="AE132" s="1271"/>
      <c r="AF132" s="1034"/>
      <c r="AG132" s="1271"/>
      <c r="AH132" s="1029"/>
      <c r="AI132" s="34"/>
      <c r="AJ132" s="34"/>
      <c r="AL132" s="20"/>
      <c r="AM132" s="20"/>
      <c r="AN132" s="34"/>
      <c r="AO132" s="34"/>
      <c r="AP132" s="34"/>
      <c r="AQ132" s="34"/>
      <c r="AR132" s="34"/>
      <c r="AS132" s="34"/>
      <c r="AT132" s="1057"/>
      <c r="BO132" s="20"/>
      <c r="BP132" s="20"/>
      <c r="BQ132" s="20"/>
      <c r="BR132" s="20"/>
      <c r="BS132" s="20"/>
    </row>
    <row r="133" spans="4:71" ht="15" customHeight="1">
      <c r="D133" s="21"/>
      <c r="E133" s="81"/>
      <c r="N133" s="114"/>
      <c r="O133" s="1031"/>
      <c r="Z133" s="122"/>
      <c r="AA133" s="241"/>
      <c r="AB133" s="1270"/>
      <c r="AC133" s="140"/>
      <c r="AD133" s="122"/>
      <c r="AE133" s="1271"/>
      <c r="AF133" s="1034"/>
      <c r="AG133" s="1271"/>
      <c r="AH133" s="1029"/>
      <c r="AI133" s="34"/>
      <c r="AJ133" s="34"/>
      <c r="AL133" s="20"/>
      <c r="AM133" s="20"/>
      <c r="AN133" s="34"/>
      <c r="AO133" s="34"/>
      <c r="AP133" s="34"/>
      <c r="AQ133" s="34"/>
      <c r="AR133" s="34"/>
      <c r="AS133" s="34"/>
      <c r="AT133" s="1057"/>
      <c r="BO133" s="20"/>
      <c r="BP133" s="20"/>
      <c r="BQ133" s="20"/>
      <c r="BR133" s="20"/>
      <c r="BS133" s="20"/>
    </row>
    <row r="134" spans="4:71" ht="15" customHeight="1">
      <c r="D134" s="21"/>
      <c r="E134" s="81"/>
      <c r="N134" s="114"/>
      <c r="O134" s="1031"/>
      <c r="Z134" s="122"/>
      <c r="AA134" s="241"/>
      <c r="AB134" s="1270"/>
      <c r="AC134" s="140"/>
      <c r="AD134" s="122"/>
      <c r="AE134" s="1271"/>
      <c r="AF134" s="1034"/>
      <c r="AG134" s="1271"/>
      <c r="AH134" s="1029"/>
      <c r="AI134" s="34"/>
      <c r="AJ134" s="34"/>
      <c r="AL134" s="20"/>
      <c r="AM134" s="20"/>
      <c r="AN134" s="34"/>
      <c r="AO134" s="34"/>
      <c r="AP134" s="34"/>
      <c r="AQ134" s="34"/>
      <c r="AR134" s="34"/>
      <c r="AS134" s="34"/>
      <c r="AT134" s="1057"/>
      <c r="BO134" s="20"/>
      <c r="BP134" s="20"/>
      <c r="BQ134" s="20"/>
      <c r="BR134" s="20"/>
      <c r="BS134" s="20"/>
    </row>
    <row r="135" spans="4:71" ht="15" customHeight="1">
      <c r="D135" s="21"/>
      <c r="E135" s="81"/>
      <c r="N135" s="85"/>
      <c r="O135" s="1031"/>
      <c r="Z135" s="122"/>
      <c r="AA135" s="241"/>
      <c r="AB135" s="1270"/>
      <c r="AC135" s="140"/>
      <c r="AD135" s="122"/>
      <c r="AE135" s="1271"/>
      <c r="AF135" s="1034"/>
      <c r="AG135" s="1271"/>
      <c r="AH135" s="1029"/>
      <c r="AI135" s="34"/>
      <c r="AJ135" s="34"/>
      <c r="AL135" s="20"/>
      <c r="AM135" s="20"/>
      <c r="AN135" s="20"/>
      <c r="AO135" s="20"/>
      <c r="AP135" s="20"/>
      <c r="AQ135" s="20"/>
      <c r="AR135" s="20"/>
      <c r="AS135" s="20"/>
      <c r="AT135" s="1057"/>
      <c r="BO135" s="20"/>
      <c r="BP135" s="20"/>
      <c r="BQ135" s="20"/>
      <c r="BR135" s="20"/>
      <c r="BS135" s="20"/>
    </row>
    <row r="136" spans="4:71" ht="15" customHeight="1">
      <c r="D136" s="21"/>
      <c r="E136" s="81"/>
      <c r="N136" s="85"/>
      <c r="O136" s="1031"/>
      <c r="Z136" s="122"/>
      <c r="AA136" s="241"/>
      <c r="AB136" s="1270"/>
      <c r="AC136" s="140"/>
      <c r="AD136" s="122"/>
      <c r="AE136" s="1271"/>
      <c r="AF136" s="1034"/>
      <c r="AG136" s="1271"/>
      <c r="AH136" s="1029"/>
      <c r="AI136" s="34"/>
      <c r="AJ136" s="34"/>
      <c r="AL136" s="190"/>
      <c r="AM136" s="20"/>
      <c r="AN136" s="20"/>
      <c r="AO136" s="20"/>
      <c r="AP136" s="20"/>
      <c r="AQ136" s="20"/>
      <c r="AR136" s="20"/>
      <c r="AS136" s="20"/>
      <c r="AT136" s="1057"/>
      <c r="BO136" s="20"/>
      <c r="BP136" s="20"/>
      <c r="BQ136" s="20"/>
      <c r="BR136" s="20"/>
      <c r="BS136" s="20"/>
    </row>
    <row r="137" spans="4:71" ht="15" customHeight="1">
      <c r="D137" s="21"/>
      <c r="E137" s="81"/>
      <c r="N137" s="85"/>
      <c r="O137" s="1031"/>
      <c r="Z137" s="122"/>
      <c r="AA137" s="241"/>
      <c r="AB137" s="1270"/>
      <c r="AC137" s="140"/>
      <c r="AD137" s="122"/>
      <c r="AE137" s="1271"/>
      <c r="AF137" s="1034"/>
      <c r="AG137" s="1271"/>
      <c r="AH137" s="1029"/>
      <c r="AI137" s="34"/>
      <c r="AJ137" s="34"/>
      <c r="AL137" s="20"/>
      <c r="AM137" s="20"/>
      <c r="AN137" s="20"/>
      <c r="AO137" s="20"/>
      <c r="AP137" s="20"/>
      <c r="AQ137" s="20"/>
      <c r="AR137" s="20"/>
      <c r="AS137" s="20"/>
      <c r="AT137" s="1057"/>
      <c r="BO137" s="20"/>
      <c r="BP137" s="20"/>
      <c r="BQ137" s="20"/>
      <c r="BR137" s="20"/>
      <c r="BS137" s="20"/>
    </row>
    <row r="138" spans="4:71" ht="15" customHeight="1">
      <c r="D138" s="21"/>
      <c r="E138" s="81"/>
      <c r="N138" s="85"/>
      <c r="O138" s="1031"/>
      <c r="Z138" s="122"/>
      <c r="AA138" s="241"/>
      <c r="AB138" s="1270"/>
      <c r="AC138" s="140"/>
      <c r="AD138" s="122"/>
      <c r="AE138" s="1271"/>
      <c r="AF138" s="1271"/>
      <c r="AG138" s="1271"/>
      <c r="AH138" s="1029"/>
      <c r="AI138" s="34"/>
      <c r="AJ138" s="34"/>
      <c r="AL138" s="20"/>
      <c r="AM138" s="20"/>
      <c r="AN138" s="20"/>
      <c r="AO138" s="20"/>
      <c r="AP138" s="20"/>
      <c r="AQ138" s="20"/>
      <c r="AR138" s="20"/>
      <c r="AS138" s="20"/>
      <c r="AT138" s="1057"/>
      <c r="BO138" s="20"/>
      <c r="BP138" s="20"/>
      <c r="BQ138" s="20"/>
      <c r="BR138" s="20"/>
      <c r="BS138" s="20"/>
    </row>
    <row r="139" spans="4:71" ht="15" customHeight="1">
      <c r="D139" s="21"/>
      <c r="E139" s="81"/>
      <c r="N139" s="85"/>
      <c r="O139" s="1031"/>
      <c r="Z139" s="245"/>
      <c r="AA139" s="241"/>
      <c r="AB139" s="1270"/>
      <c r="AC139" s="1267"/>
      <c r="AD139" s="1271"/>
      <c r="AE139" s="1271"/>
      <c r="AF139" s="1271"/>
      <c r="AG139" s="1271"/>
      <c r="AH139" s="1029"/>
      <c r="AI139" s="34"/>
      <c r="AJ139" s="34"/>
      <c r="AL139" s="20"/>
      <c r="AM139" s="20"/>
      <c r="AN139" s="20"/>
      <c r="AO139" s="20"/>
      <c r="AP139" s="20"/>
      <c r="AQ139" s="20"/>
      <c r="AR139" s="20"/>
      <c r="AS139" s="20"/>
      <c r="AT139" s="1057"/>
      <c r="BO139" s="20"/>
      <c r="BP139" s="20"/>
      <c r="BQ139" s="20"/>
      <c r="BR139" s="20"/>
      <c r="BS139" s="20"/>
    </row>
    <row r="140" spans="4:71" ht="15" customHeight="1">
      <c r="D140" s="21"/>
      <c r="E140" s="81"/>
      <c r="N140" s="85"/>
      <c r="O140" s="1031"/>
      <c r="Z140" s="245"/>
      <c r="AA140" s="241"/>
      <c r="AB140" s="1270"/>
      <c r="AC140" s="388"/>
      <c r="AD140" s="1034"/>
      <c r="AE140" s="1034"/>
      <c r="AF140" s="1271"/>
      <c r="AG140" s="1271"/>
      <c r="AH140" s="1029"/>
      <c r="AI140" s="34"/>
      <c r="AJ140" s="34"/>
      <c r="AL140" s="20"/>
      <c r="AM140" s="20"/>
      <c r="AN140" s="20"/>
      <c r="AO140" s="20"/>
      <c r="AP140" s="20"/>
      <c r="AQ140" s="20"/>
      <c r="AR140" s="20"/>
      <c r="AS140" s="20"/>
      <c r="AT140" s="1057"/>
      <c r="BO140" s="20"/>
      <c r="BP140" s="20"/>
      <c r="BQ140" s="20"/>
      <c r="BR140" s="20"/>
      <c r="BS140" s="20"/>
    </row>
    <row r="141" spans="14:71" ht="15" customHeight="1">
      <c r="N141" s="85"/>
      <c r="O141" s="1031"/>
      <c r="Z141" s="245"/>
      <c r="AA141" s="241"/>
      <c r="AB141" s="1270"/>
      <c r="AC141" s="388"/>
      <c r="AD141" s="1034"/>
      <c r="AE141" s="1034"/>
      <c r="AF141" s="1271"/>
      <c r="AG141" s="1034"/>
      <c r="AH141" s="1057"/>
      <c r="AI141" s="20"/>
      <c r="AJ141" s="20"/>
      <c r="AL141" s="20"/>
      <c r="AM141" s="20"/>
      <c r="AN141" s="20"/>
      <c r="AO141" s="20"/>
      <c r="AP141" s="20"/>
      <c r="AQ141" s="20"/>
      <c r="AR141" s="20"/>
      <c r="AS141" s="20"/>
      <c r="AT141" s="1057"/>
      <c r="BO141" s="20"/>
      <c r="BP141" s="20"/>
      <c r="BQ141" s="20"/>
      <c r="BR141" s="20"/>
      <c r="BS141" s="20"/>
    </row>
    <row r="142" spans="14:71" ht="15" customHeight="1">
      <c r="N142" s="85"/>
      <c r="O142" s="1031"/>
      <c r="Z142" s="245"/>
      <c r="AA142" s="529"/>
      <c r="AB142" s="1272"/>
      <c r="AC142" s="542"/>
      <c r="AD142" s="1034"/>
      <c r="AE142" s="1034"/>
      <c r="AF142" s="1271"/>
      <c r="AG142" s="1034"/>
      <c r="AH142" s="1057"/>
      <c r="AI142" s="20"/>
      <c r="AJ142" s="20"/>
      <c r="AL142" s="20"/>
      <c r="AM142" s="20"/>
      <c r="AN142" s="20"/>
      <c r="AO142" s="20"/>
      <c r="AP142" s="20"/>
      <c r="AQ142" s="20"/>
      <c r="AR142" s="20"/>
      <c r="AS142" s="20"/>
      <c r="AT142" s="1057"/>
      <c r="BO142" s="20"/>
      <c r="BP142" s="20"/>
      <c r="BQ142" s="20"/>
      <c r="BR142" s="20"/>
      <c r="BS142" s="20"/>
    </row>
    <row r="143" spans="14:71" ht="15" customHeight="1">
      <c r="N143" s="85"/>
      <c r="O143" s="1031"/>
      <c r="Z143" s="1268"/>
      <c r="AA143" s="241"/>
      <c r="AB143" s="1273"/>
      <c r="AC143" s="140"/>
      <c r="AD143" s="1034"/>
      <c r="AE143" s="1034"/>
      <c r="AF143" s="1271"/>
      <c r="AG143" s="1034"/>
      <c r="AH143" s="1057"/>
      <c r="AI143" s="20"/>
      <c r="AJ143" s="20"/>
      <c r="AL143" s="20"/>
      <c r="AM143" s="20"/>
      <c r="AN143" s="20"/>
      <c r="AO143" s="20"/>
      <c r="AP143" s="20"/>
      <c r="AQ143" s="20"/>
      <c r="AR143" s="20"/>
      <c r="AS143" s="20"/>
      <c r="AT143" s="1057"/>
      <c r="BO143" s="20"/>
      <c r="BP143" s="20"/>
      <c r="BQ143" s="20"/>
      <c r="BR143" s="20"/>
      <c r="BS143" s="20"/>
    </row>
    <row r="144" spans="14:71" ht="15" customHeight="1">
      <c r="N144" s="85"/>
      <c r="O144" s="1031"/>
      <c r="Z144" s="1268"/>
      <c r="AA144" s="241"/>
      <c r="AB144" s="1273"/>
      <c r="AC144" s="140"/>
      <c r="AD144" s="1034"/>
      <c r="AE144" s="1034"/>
      <c r="AF144" s="1271"/>
      <c r="AG144" s="1034"/>
      <c r="AH144" s="1057"/>
      <c r="AI144" s="20"/>
      <c r="AJ144" s="20"/>
      <c r="AL144" s="20"/>
      <c r="AM144" s="20"/>
      <c r="AN144" s="20"/>
      <c r="AO144" s="20"/>
      <c r="AP144" s="20"/>
      <c r="AQ144" s="20"/>
      <c r="AR144" s="20"/>
      <c r="AS144" s="20"/>
      <c r="AT144" s="1057"/>
      <c r="BO144" s="20"/>
      <c r="BP144" s="20"/>
      <c r="BQ144" s="20"/>
      <c r="BR144" s="20"/>
      <c r="BS144" s="20"/>
    </row>
    <row r="145" spans="14:71" ht="15" customHeight="1">
      <c r="N145" s="85"/>
      <c r="O145" s="1031"/>
      <c r="Z145" s="1268"/>
      <c r="AA145" s="241"/>
      <c r="AB145" s="1273"/>
      <c r="AC145" s="140"/>
      <c r="AD145" s="1034"/>
      <c r="AE145" s="1034"/>
      <c r="AF145" s="1271"/>
      <c r="AG145" s="1034"/>
      <c r="AH145" s="1057"/>
      <c r="AI145" s="20"/>
      <c r="AJ145" s="20"/>
      <c r="AL145" s="20"/>
      <c r="AM145" s="20"/>
      <c r="AN145" s="20"/>
      <c r="AO145" s="20"/>
      <c r="AP145" s="20"/>
      <c r="AQ145" s="20"/>
      <c r="AR145" s="20"/>
      <c r="AS145" s="20"/>
      <c r="AT145" s="1057"/>
      <c r="BO145" s="20"/>
      <c r="BP145" s="20"/>
      <c r="BQ145" s="20"/>
      <c r="BR145" s="20"/>
      <c r="BS145" s="20"/>
    </row>
    <row r="146" spans="14:71" ht="15" customHeight="1">
      <c r="N146" s="85"/>
      <c r="O146" s="1031"/>
      <c r="Z146" s="1268"/>
      <c r="AA146" s="241"/>
      <c r="AB146" s="1273"/>
      <c r="AC146" s="140"/>
      <c r="AD146" s="1034"/>
      <c r="AE146" s="1034"/>
      <c r="AF146" s="1271"/>
      <c r="AG146" s="1271"/>
      <c r="AH146" s="1029"/>
      <c r="AI146" s="34"/>
      <c r="AJ146" s="34"/>
      <c r="AL146" s="20"/>
      <c r="AM146" s="20"/>
      <c r="AN146" s="34"/>
      <c r="AO146" s="34"/>
      <c r="AP146" s="20"/>
      <c r="AQ146" s="34"/>
      <c r="AR146" s="20"/>
      <c r="AS146" s="34"/>
      <c r="AT146" s="1057"/>
      <c r="BO146" s="20"/>
      <c r="BP146" s="20"/>
      <c r="BQ146" s="20"/>
      <c r="BR146" s="20"/>
      <c r="BS146" s="20"/>
    </row>
    <row r="147" spans="14:71" ht="15" customHeight="1">
      <c r="N147" s="85"/>
      <c r="O147" s="1031"/>
      <c r="Z147" s="1268"/>
      <c r="AA147" s="241"/>
      <c r="AB147" s="1273"/>
      <c r="AC147" s="140"/>
      <c r="AD147" s="1034"/>
      <c r="AE147" s="1034"/>
      <c r="AF147" s="1271"/>
      <c r="AG147" s="1271"/>
      <c r="AH147" s="1029"/>
      <c r="AI147" s="34"/>
      <c r="AJ147" s="34"/>
      <c r="AL147" s="20"/>
      <c r="AM147" s="34"/>
      <c r="AN147" s="34"/>
      <c r="AO147" s="86"/>
      <c r="AP147" s="20"/>
      <c r="AQ147" s="86"/>
      <c r="AR147" s="20"/>
      <c r="AS147" s="34"/>
      <c r="AT147" s="1057"/>
      <c r="BO147" s="20"/>
      <c r="BP147" s="20"/>
      <c r="BQ147" s="20"/>
      <c r="BR147" s="20"/>
      <c r="BS147" s="20"/>
    </row>
    <row r="148" spans="14:71" ht="15" customHeight="1">
      <c r="N148" s="114"/>
      <c r="O148" s="1031"/>
      <c r="Z148" s="1268"/>
      <c r="AA148" s="241"/>
      <c r="AB148" s="1273"/>
      <c r="AC148" s="140"/>
      <c r="AD148" s="1034"/>
      <c r="AE148" s="1034"/>
      <c r="AF148" s="1271"/>
      <c r="AG148" s="1271"/>
      <c r="AH148" s="1029"/>
      <c r="AI148" s="34"/>
      <c r="AJ148" s="34"/>
      <c r="AL148" s="20"/>
      <c r="AM148" s="20"/>
      <c r="AN148" s="20"/>
      <c r="AO148" s="20"/>
      <c r="AP148" s="20"/>
      <c r="AQ148" s="20"/>
      <c r="AR148" s="20"/>
      <c r="AS148" s="20"/>
      <c r="AT148" s="1057"/>
      <c r="BO148" s="20"/>
      <c r="BP148" s="20"/>
      <c r="BQ148" s="20"/>
      <c r="BR148" s="20"/>
      <c r="BS148" s="20"/>
    </row>
    <row r="149" spans="14:71" ht="15" customHeight="1">
      <c r="N149" s="85"/>
      <c r="O149" s="1031"/>
      <c r="Z149" s="1268"/>
      <c r="AA149" s="241"/>
      <c r="AB149" s="1273"/>
      <c r="AC149" s="140"/>
      <c r="AD149" s="1034"/>
      <c r="AE149" s="1034"/>
      <c r="AF149" s="1034"/>
      <c r="AG149" s="1271"/>
      <c r="AH149" s="1029"/>
      <c r="AI149" s="34"/>
      <c r="AJ149" s="34"/>
      <c r="AL149" s="20"/>
      <c r="AM149" s="20"/>
      <c r="AN149" s="20"/>
      <c r="AO149" s="20"/>
      <c r="AP149" s="20"/>
      <c r="AQ149" s="20"/>
      <c r="AR149" s="20"/>
      <c r="AS149" s="34"/>
      <c r="AT149" s="1057"/>
      <c r="BO149" s="20"/>
      <c r="BP149" s="20"/>
      <c r="BQ149" s="20"/>
      <c r="BR149" s="20"/>
      <c r="BS149" s="20"/>
    </row>
    <row r="150" spans="14:71" ht="15" customHeight="1">
      <c r="N150" s="85"/>
      <c r="O150" s="1031"/>
      <c r="Z150" s="1268"/>
      <c r="AA150" s="241"/>
      <c r="AB150" s="1273"/>
      <c r="AC150" s="140"/>
      <c r="AD150" s="1271"/>
      <c r="AE150" s="1271"/>
      <c r="AF150" s="1034"/>
      <c r="AG150" s="1271"/>
      <c r="AH150" s="1029"/>
      <c r="AI150" s="34"/>
      <c r="AJ150" s="34"/>
      <c r="AL150" s="20"/>
      <c r="AM150" s="20"/>
      <c r="AN150" s="20"/>
      <c r="AO150" s="20"/>
      <c r="AP150" s="20"/>
      <c r="AQ150" s="20"/>
      <c r="AR150" s="20"/>
      <c r="AS150" s="34"/>
      <c r="AT150" s="1057"/>
      <c r="BO150" s="20"/>
      <c r="BP150" s="20"/>
      <c r="BQ150" s="20"/>
      <c r="BR150" s="20"/>
      <c r="BS150" s="20"/>
    </row>
    <row r="151" spans="14:71" ht="15" customHeight="1">
      <c r="N151" s="85"/>
      <c r="O151" s="1031"/>
      <c r="Z151" s="1268"/>
      <c r="AA151" s="241"/>
      <c r="AB151" s="1273"/>
      <c r="AC151" s="1269"/>
      <c r="AD151" s="1271"/>
      <c r="AE151" s="1271"/>
      <c r="AF151" s="1034"/>
      <c r="AG151" s="1271"/>
      <c r="AH151" s="1029"/>
      <c r="AI151" s="34"/>
      <c r="AJ151" s="34"/>
      <c r="AL151" s="20"/>
      <c r="AM151" s="20"/>
      <c r="AN151" s="20"/>
      <c r="AO151" s="34"/>
      <c r="AP151" s="20"/>
      <c r="AQ151" s="20"/>
      <c r="AR151" s="20"/>
      <c r="AS151" s="34"/>
      <c r="AT151" s="1057"/>
      <c r="BO151" s="20"/>
      <c r="BP151" s="20"/>
      <c r="BQ151" s="20"/>
      <c r="BR151" s="20"/>
      <c r="BS151" s="20"/>
    </row>
    <row r="152" spans="14:71" ht="15" customHeight="1">
      <c r="N152" s="85"/>
      <c r="O152" s="1031"/>
      <c r="Z152" s="241"/>
      <c r="AA152" s="241"/>
      <c r="AB152" s="1274"/>
      <c r="AC152" s="1271"/>
      <c r="AD152" s="1271"/>
      <c r="AE152" s="1271"/>
      <c r="AF152" s="1034"/>
      <c r="AG152" s="1271"/>
      <c r="AH152" s="1029"/>
      <c r="AI152" s="34"/>
      <c r="AJ152" s="34"/>
      <c r="AL152" s="20"/>
      <c r="AM152" s="20"/>
      <c r="AN152" s="20"/>
      <c r="AO152" s="34"/>
      <c r="AP152" s="20"/>
      <c r="AQ152" s="20"/>
      <c r="AR152" s="20"/>
      <c r="AS152" s="34"/>
      <c r="AT152" s="1057"/>
      <c r="BO152" s="20"/>
      <c r="BP152" s="20"/>
      <c r="BQ152" s="20"/>
      <c r="BR152" s="20"/>
      <c r="BS152" s="20"/>
    </row>
    <row r="153" spans="14:71" ht="15" customHeight="1">
      <c r="N153" s="85"/>
      <c r="O153" s="1031"/>
      <c r="Z153" s="241"/>
      <c r="AA153" s="241"/>
      <c r="AB153" s="1274"/>
      <c r="AC153" s="1271"/>
      <c r="AD153" s="1271"/>
      <c r="AE153" s="1271"/>
      <c r="AF153" s="1034"/>
      <c r="AG153" s="1271"/>
      <c r="AH153" s="1029"/>
      <c r="AI153" s="34"/>
      <c r="AJ153" s="34"/>
      <c r="AL153" s="20"/>
      <c r="AM153" s="34"/>
      <c r="AN153" s="20"/>
      <c r="AO153" s="34"/>
      <c r="AP153" s="20"/>
      <c r="AQ153" s="20"/>
      <c r="AR153" s="20"/>
      <c r="AS153" s="34"/>
      <c r="AT153" s="1057"/>
      <c r="BO153" s="20"/>
      <c r="BP153" s="20"/>
      <c r="BQ153" s="20"/>
      <c r="BR153" s="20"/>
      <c r="BS153" s="20"/>
    </row>
    <row r="154" spans="14:71" ht="15" customHeight="1">
      <c r="N154" s="85"/>
      <c r="O154" s="1031"/>
      <c r="Z154" s="241"/>
      <c r="AA154" s="241"/>
      <c r="AB154" s="1274"/>
      <c r="AC154" s="1271"/>
      <c r="AD154" s="1271"/>
      <c r="AE154" s="1271"/>
      <c r="AF154" s="1271"/>
      <c r="AG154" s="1271"/>
      <c r="AH154" s="1029"/>
      <c r="AI154" s="34"/>
      <c r="AJ154" s="34"/>
      <c r="AL154" s="20"/>
      <c r="AM154" s="20"/>
      <c r="AN154" s="20"/>
      <c r="AO154" s="20"/>
      <c r="AP154" s="20"/>
      <c r="AQ154" s="20"/>
      <c r="AR154" s="20"/>
      <c r="AS154" s="20"/>
      <c r="AT154" s="1057"/>
      <c r="BO154" s="20"/>
      <c r="BP154" s="20"/>
      <c r="BQ154" s="20"/>
      <c r="BR154" s="20"/>
      <c r="BS154" s="20"/>
    </row>
    <row r="155" spans="14:71" ht="15" customHeight="1">
      <c r="N155" s="85"/>
      <c r="O155" s="1031"/>
      <c r="Z155" s="241"/>
      <c r="AA155" s="241"/>
      <c r="AB155" s="1274"/>
      <c r="AC155" s="1271"/>
      <c r="AD155" s="1271"/>
      <c r="AE155" s="1271"/>
      <c r="AF155" s="1271"/>
      <c r="AG155" s="1271"/>
      <c r="AH155" s="1029"/>
      <c r="AI155" s="34"/>
      <c r="AJ155" s="34"/>
      <c r="AL155" s="20"/>
      <c r="AM155" s="20"/>
      <c r="AN155" s="20"/>
      <c r="AO155" s="20"/>
      <c r="AP155" s="20"/>
      <c r="AQ155" s="20"/>
      <c r="AR155" s="20"/>
      <c r="AS155" s="20"/>
      <c r="AT155" s="1057"/>
      <c r="BO155" s="20"/>
      <c r="BP155" s="20"/>
      <c r="BQ155" s="20"/>
      <c r="BR155" s="20"/>
      <c r="BS155" s="20"/>
    </row>
    <row r="156" spans="14:71" ht="15" customHeight="1">
      <c r="N156" s="85"/>
      <c r="O156" s="1031"/>
      <c r="Z156" s="241"/>
      <c r="AA156" s="241"/>
      <c r="AB156" s="1274"/>
      <c r="AC156" s="1271"/>
      <c r="AD156" s="1271"/>
      <c r="AE156" s="1271"/>
      <c r="AF156" s="1271"/>
      <c r="AG156" s="241"/>
      <c r="AH156" s="1057"/>
      <c r="AI156" s="20"/>
      <c r="AJ156" s="20"/>
      <c r="AL156" s="20"/>
      <c r="AM156" s="20"/>
      <c r="AN156" s="20"/>
      <c r="AO156" s="20"/>
      <c r="AP156" s="20"/>
      <c r="AQ156" s="20"/>
      <c r="AR156" s="20"/>
      <c r="AS156" s="20"/>
      <c r="AT156" s="1057"/>
      <c r="BO156" s="20"/>
      <c r="BP156" s="20"/>
      <c r="BQ156" s="20"/>
      <c r="BR156" s="20"/>
      <c r="BS156" s="20"/>
    </row>
    <row r="157" spans="14:71" ht="15" customHeight="1">
      <c r="N157" s="85"/>
      <c r="O157" s="1031"/>
      <c r="AB157" s="1196"/>
      <c r="AC157" s="34"/>
      <c r="AD157" s="34"/>
      <c r="AE157" s="34"/>
      <c r="AF157" s="34"/>
      <c r="AI157" s="20"/>
      <c r="AJ157" s="20"/>
      <c r="AL157" s="20"/>
      <c r="AM157" s="20"/>
      <c r="AN157" s="20"/>
      <c r="AO157" s="20"/>
      <c r="AP157" s="20"/>
      <c r="AQ157" s="20"/>
      <c r="AR157" s="20"/>
      <c r="AS157" s="20"/>
      <c r="AT157" s="1057"/>
      <c r="BO157" s="20"/>
      <c r="BP157" s="20"/>
      <c r="BQ157" s="20"/>
      <c r="BR157" s="20"/>
      <c r="BS157" s="20"/>
    </row>
    <row r="158" spans="14:71" ht="15" customHeight="1">
      <c r="N158" s="85"/>
      <c r="O158" s="1031"/>
      <c r="AB158" s="1196"/>
      <c r="AC158" s="34"/>
      <c r="AD158" s="34"/>
      <c r="AE158" s="34"/>
      <c r="AF158" s="34"/>
      <c r="AI158" s="20"/>
      <c r="AJ158" s="20"/>
      <c r="AL158" s="20"/>
      <c r="AM158" s="20"/>
      <c r="AN158" s="20"/>
      <c r="AO158" s="20"/>
      <c r="AP158" s="20"/>
      <c r="AQ158" s="20"/>
      <c r="AR158" s="20"/>
      <c r="AS158" s="34"/>
      <c r="AT158" s="1057"/>
      <c r="BO158" s="20"/>
      <c r="BP158" s="20"/>
      <c r="BQ158" s="20"/>
      <c r="BR158" s="20"/>
      <c r="BS158" s="20"/>
    </row>
    <row r="159" spans="14:71" ht="15" customHeight="1">
      <c r="N159" s="85"/>
      <c r="O159" s="1031"/>
      <c r="AB159" s="1196"/>
      <c r="AC159" s="34"/>
      <c r="AD159" s="34"/>
      <c r="AE159" s="34"/>
      <c r="AF159" s="34"/>
      <c r="AI159" s="20"/>
      <c r="AJ159" s="20"/>
      <c r="AL159" s="20"/>
      <c r="AM159" s="34"/>
      <c r="AN159" s="20"/>
      <c r="AO159" s="20"/>
      <c r="AP159" s="20"/>
      <c r="AQ159" s="20"/>
      <c r="AR159" s="20"/>
      <c r="AS159" s="34"/>
      <c r="AT159" s="1057"/>
      <c r="BO159" s="20"/>
      <c r="BP159" s="20"/>
      <c r="BQ159" s="20"/>
      <c r="BR159" s="20"/>
      <c r="BS159" s="20"/>
    </row>
    <row r="160" spans="14:71" ht="15" customHeight="1">
      <c r="N160" s="85"/>
      <c r="O160" s="1031"/>
      <c r="AB160" s="1196"/>
      <c r="AC160" s="34"/>
      <c r="AD160" s="34"/>
      <c r="AE160" s="34"/>
      <c r="AF160" s="34"/>
      <c r="AJ160" s="20"/>
      <c r="AN160" s="34"/>
      <c r="AO160" s="20"/>
      <c r="AP160" s="20"/>
      <c r="AQ160" s="20"/>
      <c r="AR160" s="20"/>
      <c r="AS160" s="34"/>
      <c r="AT160" s="1057"/>
      <c r="BO160" s="20"/>
      <c r="BP160" s="20"/>
      <c r="BQ160" s="20"/>
      <c r="BR160" s="20"/>
      <c r="BS160" s="20"/>
    </row>
    <row r="161" spans="14:71" ht="15" customHeight="1">
      <c r="N161" s="85"/>
      <c r="O161" s="1031"/>
      <c r="AB161" s="1182"/>
      <c r="AC161" s="20"/>
      <c r="AD161" s="20"/>
      <c r="AE161" s="20"/>
      <c r="AF161" s="34"/>
      <c r="AJ161" s="20"/>
      <c r="AN161" s="34"/>
      <c r="AO161" s="20"/>
      <c r="AP161" s="20"/>
      <c r="AQ161" s="20"/>
      <c r="AR161" s="20"/>
      <c r="AS161" s="20"/>
      <c r="AT161" s="1057"/>
      <c r="BO161" s="20"/>
      <c r="BP161" s="20"/>
      <c r="BQ161" s="20"/>
      <c r="BR161" s="20"/>
      <c r="BS161" s="20"/>
    </row>
    <row r="162" spans="14:71" ht="15" customHeight="1">
      <c r="N162" s="85"/>
      <c r="O162" s="1031"/>
      <c r="AB162" s="1182"/>
      <c r="AC162" s="20"/>
      <c r="AD162" s="20"/>
      <c r="AE162" s="20"/>
      <c r="AF162" s="34"/>
      <c r="AJ162" s="20"/>
      <c r="AN162" s="20"/>
      <c r="AO162" s="20"/>
      <c r="AP162" s="20"/>
      <c r="AQ162" s="20"/>
      <c r="AR162" s="20"/>
      <c r="AS162" s="20"/>
      <c r="AT162" s="1057"/>
      <c r="BO162" s="20"/>
      <c r="BP162" s="20"/>
      <c r="BQ162" s="20"/>
      <c r="BR162" s="20"/>
      <c r="BS162" s="20"/>
    </row>
    <row r="163" spans="14:71" ht="15" customHeight="1">
      <c r="N163" s="85"/>
      <c r="O163" s="1031"/>
      <c r="AB163" s="1182"/>
      <c r="AC163" s="20"/>
      <c r="AD163" s="20"/>
      <c r="AE163" s="20"/>
      <c r="AF163" s="34"/>
      <c r="AJ163" s="20"/>
      <c r="AN163" s="20"/>
      <c r="AO163" s="20"/>
      <c r="AP163" s="20"/>
      <c r="AQ163" s="20"/>
      <c r="AR163" s="20"/>
      <c r="AS163" s="20"/>
      <c r="AT163" s="1057"/>
      <c r="BO163" s="20"/>
      <c r="BP163" s="20"/>
      <c r="BQ163" s="20"/>
      <c r="BR163" s="20"/>
      <c r="BS163" s="20"/>
    </row>
    <row r="164" spans="14:71" ht="15" customHeight="1">
      <c r="N164" s="85"/>
      <c r="O164" s="1031"/>
      <c r="AB164" s="1182"/>
      <c r="AC164" s="20"/>
      <c r="AD164" s="20"/>
      <c r="AE164" s="20"/>
      <c r="AF164" s="20"/>
      <c r="AJ164" s="20"/>
      <c r="AN164" s="20"/>
      <c r="AO164" s="20"/>
      <c r="AP164" s="20"/>
      <c r="AQ164" s="20"/>
      <c r="AR164" s="20"/>
      <c r="AS164" s="20"/>
      <c r="AT164" s="1057"/>
      <c r="BO164" s="20"/>
      <c r="BP164" s="20"/>
      <c r="BQ164" s="20"/>
      <c r="BR164" s="20"/>
      <c r="BS164" s="20"/>
    </row>
    <row r="165" spans="14:71" ht="15" customHeight="1">
      <c r="N165" s="85"/>
      <c r="O165" s="1031"/>
      <c r="AB165" s="1182"/>
      <c r="AC165" s="20"/>
      <c r="AD165" s="20"/>
      <c r="AE165" s="20"/>
      <c r="AF165" s="20"/>
      <c r="AJ165" s="20"/>
      <c r="AN165" s="20"/>
      <c r="AO165" s="20"/>
      <c r="AP165" s="20"/>
      <c r="AQ165" s="20"/>
      <c r="AR165" s="20"/>
      <c r="AS165" s="20"/>
      <c r="AT165" s="1057"/>
      <c r="BO165" s="20"/>
      <c r="BP165" s="20"/>
      <c r="BQ165" s="20"/>
      <c r="BR165" s="20"/>
      <c r="BS165" s="20"/>
    </row>
    <row r="166" spans="14:71" ht="15" customHeight="1">
      <c r="N166" s="122"/>
      <c r="O166" s="943"/>
      <c r="AB166" s="1196"/>
      <c r="AC166" s="34"/>
      <c r="AD166" s="34"/>
      <c r="AE166" s="34"/>
      <c r="AF166" s="20"/>
      <c r="AJ166" s="20"/>
      <c r="AN166" s="20"/>
      <c r="AO166" s="20"/>
      <c r="AP166" s="20"/>
      <c r="AQ166" s="20"/>
      <c r="AR166" s="20"/>
      <c r="AS166" s="20"/>
      <c r="AT166" s="1057"/>
      <c r="BO166" s="20"/>
      <c r="BP166" s="20"/>
      <c r="BQ166" s="20"/>
      <c r="BR166" s="20"/>
      <c r="BS166" s="20"/>
    </row>
    <row r="167" spans="14:71" ht="15" customHeight="1">
      <c r="N167" s="85"/>
      <c r="O167" s="943"/>
      <c r="AB167" s="1196"/>
      <c r="AC167" s="34"/>
      <c r="AD167" s="34"/>
      <c r="AE167" s="34"/>
      <c r="AF167" s="20"/>
      <c r="AJ167" s="20"/>
      <c r="AN167" s="20"/>
      <c r="AO167" s="20"/>
      <c r="AP167" s="20"/>
      <c r="AQ167" s="20"/>
      <c r="AR167" s="20"/>
      <c r="AS167" s="20"/>
      <c r="AT167" s="1057"/>
      <c r="BO167" s="20"/>
      <c r="BP167" s="20"/>
      <c r="BQ167" s="20"/>
      <c r="BR167" s="20"/>
      <c r="BS167" s="20"/>
    </row>
    <row r="168" spans="14:71" ht="15" customHeight="1">
      <c r="N168" s="99"/>
      <c r="O168" s="1027"/>
      <c r="AB168" s="1196"/>
      <c r="AC168" s="34"/>
      <c r="AD168" s="34"/>
      <c r="AE168" s="34"/>
      <c r="AJ168" s="20"/>
      <c r="AN168" s="20"/>
      <c r="AO168" s="20"/>
      <c r="AP168" s="20"/>
      <c r="AQ168" s="20"/>
      <c r="AR168" s="20"/>
      <c r="AS168" s="20"/>
      <c r="AT168" s="1057"/>
      <c r="BO168" s="20"/>
      <c r="BP168" s="20"/>
      <c r="BQ168" s="20"/>
      <c r="BR168" s="20"/>
      <c r="BS168" s="20"/>
    </row>
    <row r="169" spans="28:71" ht="15" customHeight="1">
      <c r="AB169" s="1196"/>
      <c r="AC169" s="34"/>
      <c r="AD169" s="34"/>
      <c r="AE169" s="34"/>
      <c r="AJ169" s="20"/>
      <c r="AN169" s="20"/>
      <c r="AO169" s="20"/>
      <c r="AP169" s="20"/>
      <c r="AQ169" s="20"/>
      <c r="AR169" s="20"/>
      <c r="AS169" s="20"/>
      <c r="AT169" s="1057"/>
      <c r="BO169" s="20"/>
      <c r="BP169" s="20"/>
      <c r="BQ169" s="20"/>
      <c r="BR169" s="20"/>
      <c r="BS169" s="20"/>
    </row>
    <row r="170" spans="28:71" ht="15" customHeight="1">
      <c r="AB170" s="1196"/>
      <c r="AC170" s="34"/>
      <c r="AD170" s="34"/>
      <c r="AE170" s="34"/>
      <c r="AJ170" s="20"/>
      <c r="AN170" s="20"/>
      <c r="AO170" s="20"/>
      <c r="AP170" s="20"/>
      <c r="AQ170" s="20"/>
      <c r="AR170" s="20"/>
      <c r="AS170" s="20"/>
      <c r="AT170" s="1057"/>
      <c r="BO170" s="20"/>
      <c r="BP170" s="20"/>
      <c r="BQ170" s="20"/>
      <c r="BR170" s="20"/>
      <c r="BS170" s="20"/>
    </row>
    <row r="171" spans="28:71" ht="15" customHeight="1">
      <c r="AB171" s="1196"/>
      <c r="AC171" s="34"/>
      <c r="AD171" s="34"/>
      <c r="AE171" s="34"/>
      <c r="AJ171" s="20"/>
      <c r="AN171" s="20"/>
      <c r="AO171" s="20"/>
      <c r="AP171" s="20"/>
      <c r="AQ171" s="20"/>
      <c r="AR171" s="20"/>
      <c r="AS171" s="20"/>
      <c r="AT171" s="1057"/>
      <c r="BO171" s="20"/>
      <c r="BP171" s="20"/>
      <c r="BQ171" s="20"/>
      <c r="BR171" s="20"/>
      <c r="BS171" s="20"/>
    </row>
    <row r="172" spans="28:71" ht="15" customHeight="1">
      <c r="AB172" s="1196"/>
      <c r="AC172" s="34"/>
      <c r="AD172" s="34"/>
      <c r="AE172" s="34"/>
      <c r="AJ172" s="20"/>
      <c r="AN172" s="20"/>
      <c r="AO172" s="20"/>
      <c r="AP172" s="20"/>
      <c r="AQ172" s="20"/>
      <c r="AR172" s="20"/>
      <c r="AS172" s="20"/>
      <c r="AT172" s="1057"/>
      <c r="BO172" s="20"/>
      <c r="BP172" s="20"/>
      <c r="BQ172" s="20"/>
      <c r="BR172" s="20"/>
      <c r="BS172" s="20"/>
    </row>
    <row r="173" spans="28:70" ht="15" customHeight="1">
      <c r="AB173" s="1196"/>
      <c r="AC173" s="34"/>
      <c r="AD173" s="34"/>
      <c r="AE173" s="34"/>
      <c r="AJ173" s="20"/>
      <c r="AN173" s="20"/>
      <c r="AO173" s="20"/>
      <c r="AP173" s="20"/>
      <c r="AQ173" s="20"/>
      <c r="AR173" s="20"/>
      <c r="AS173" s="20"/>
      <c r="AT173" s="1057"/>
      <c r="BR173" s="20"/>
    </row>
    <row r="174" spans="28:70" ht="15" customHeight="1">
      <c r="AB174" s="1196"/>
      <c r="AC174" s="34"/>
      <c r="AD174" s="34"/>
      <c r="AE174" s="34"/>
      <c r="AJ174" s="20"/>
      <c r="AN174" s="20"/>
      <c r="AO174" s="20"/>
      <c r="AP174" s="20"/>
      <c r="AQ174" s="20"/>
      <c r="AR174" s="20"/>
      <c r="AS174" s="20"/>
      <c r="AT174" s="1057"/>
      <c r="BR174" s="20"/>
    </row>
    <row r="175" spans="28:70" ht="15" customHeight="1">
      <c r="AB175" s="1196"/>
      <c r="AC175" s="34"/>
      <c r="AD175" s="34"/>
      <c r="AE175" s="34"/>
      <c r="AJ175" s="20"/>
      <c r="AN175" s="20"/>
      <c r="AO175" s="20"/>
      <c r="AP175" s="20"/>
      <c r="AQ175" s="20"/>
      <c r="AR175" s="20"/>
      <c r="AS175" s="20"/>
      <c r="AT175" s="1057"/>
      <c r="BR175" s="20"/>
    </row>
    <row r="176" spans="28:70" ht="15" customHeight="1">
      <c r="AB176" s="1182"/>
      <c r="AC176" s="20"/>
      <c r="AE176" s="20"/>
      <c r="AJ176" s="20"/>
      <c r="AN176" s="20"/>
      <c r="AO176" s="20"/>
      <c r="AP176" s="20"/>
      <c r="AQ176" s="20"/>
      <c r="AR176" s="20"/>
      <c r="AS176" s="20"/>
      <c r="AT176" s="1057"/>
      <c r="BR176" s="20"/>
    </row>
    <row r="177" spans="29:70" ht="15" customHeight="1">
      <c r="AC177" s="20"/>
      <c r="AJ177" s="20"/>
      <c r="AN177" s="20"/>
      <c r="AO177" s="20"/>
      <c r="AP177" s="20"/>
      <c r="AQ177" s="20"/>
      <c r="AR177" s="20"/>
      <c r="AS177" s="20"/>
      <c r="AT177" s="1057"/>
      <c r="BR177" s="20"/>
    </row>
    <row r="178" spans="29:70" ht="15" customHeight="1">
      <c r="AC178" s="20"/>
      <c r="AJ178" s="20"/>
      <c r="AN178" s="20"/>
      <c r="AO178" s="20"/>
      <c r="AP178" s="20"/>
      <c r="AQ178" s="20"/>
      <c r="AR178" s="20"/>
      <c r="AS178" s="20"/>
      <c r="AT178" s="1057"/>
      <c r="BR178" s="20"/>
    </row>
    <row r="179" spans="29:70" ht="15" customHeight="1">
      <c r="AC179" s="20"/>
      <c r="AJ179" s="20"/>
      <c r="AN179" s="20"/>
      <c r="AO179" s="20"/>
      <c r="AP179" s="20"/>
      <c r="AQ179" s="20"/>
      <c r="AR179" s="20"/>
      <c r="AS179" s="20"/>
      <c r="AT179" s="1057"/>
      <c r="BR179" s="20"/>
    </row>
    <row r="180" spans="36:70" ht="15" customHeight="1">
      <c r="AJ180" s="20"/>
      <c r="AN180" s="20"/>
      <c r="AO180" s="20"/>
      <c r="AP180" s="20"/>
      <c r="AQ180" s="20"/>
      <c r="AR180" s="20"/>
      <c r="AS180" s="20"/>
      <c r="AT180" s="1057"/>
      <c r="BR180" s="20"/>
    </row>
    <row r="181" spans="36:46" ht="15" customHeight="1">
      <c r="AJ181" s="20"/>
      <c r="AN181" s="20"/>
      <c r="AO181" s="20"/>
      <c r="AP181" s="20"/>
      <c r="AQ181" s="20"/>
      <c r="AR181" s="20"/>
      <c r="AS181" s="20"/>
      <c r="AT181" s="1057"/>
    </row>
    <row r="182" spans="36:46" ht="15" customHeight="1">
      <c r="AJ182" s="20"/>
      <c r="AN182" s="20"/>
      <c r="AO182" s="20"/>
      <c r="AP182" s="20"/>
      <c r="AQ182" s="20"/>
      <c r="AR182" s="20"/>
      <c r="AS182" s="20"/>
      <c r="AT182" s="1057"/>
    </row>
    <row r="183" spans="36:46" ht="15" customHeight="1">
      <c r="AJ183" s="20"/>
      <c r="AN183" s="20"/>
      <c r="AO183" s="20"/>
      <c r="AP183" s="20"/>
      <c r="AQ183" s="20"/>
      <c r="AR183" s="20"/>
      <c r="AS183" s="20"/>
      <c r="AT183" s="1057"/>
    </row>
    <row r="184" spans="36:46" ht="15" customHeight="1">
      <c r="AJ184" s="20"/>
      <c r="AN184" s="20"/>
      <c r="AO184" s="20"/>
      <c r="AP184" s="20"/>
      <c r="AQ184" s="20"/>
      <c r="AR184" s="20"/>
      <c r="AS184" s="20"/>
      <c r="AT184" s="1057"/>
    </row>
    <row r="185" spans="36:46" ht="15" customHeight="1">
      <c r="AJ185" s="20"/>
      <c r="AN185" s="20"/>
      <c r="AO185" s="20"/>
      <c r="AP185" s="20"/>
      <c r="AQ185" s="20"/>
      <c r="AR185" s="20"/>
      <c r="AS185" s="20"/>
      <c r="AT185" s="1057"/>
    </row>
    <row r="186" spans="36:46" ht="15" customHeight="1">
      <c r="AJ186" s="20"/>
      <c r="AN186" s="20"/>
      <c r="AO186" s="20"/>
      <c r="AP186" s="20"/>
      <c r="AQ186" s="20"/>
      <c r="AR186" s="20"/>
      <c r="AS186" s="20"/>
      <c r="AT186" s="1057"/>
    </row>
    <row r="187" spans="36:46" ht="15" customHeight="1">
      <c r="AJ187" s="20"/>
      <c r="AN187" s="20"/>
      <c r="AO187" s="20"/>
      <c r="AP187" s="20"/>
      <c r="AQ187" s="20"/>
      <c r="AR187" s="20"/>
      <c r="AS187" s="20"/>
      <c r="AT187" s="1057"/>
    </row>
    <row r="188" spans="36:46" ht="15" customHeight="1">
      <c r="AJ188" s="20"/>
      <c r="AN188" s="20"/>
      <c r="AO188" s="20"/>
      <c r="AP188" s="20"/>
      <c r="AQ188" s="20"/>
      <c r="AR188" s="20"/>
      <c r="AS188" s="20"/>
      <c r="AT188" s="1057"/>
    </row>
    <row r="189" spans="36:46" ht="15" customHeight="1">
      <c r="AJ189" s="20"/>
      <c r="AN189" s="20"/>
      <c r="AO189" s="20"/>
      <c r="AP189" s="20"/>
      <c r="AQ189" s="20"/>
      <c r="AR189" s="20"/>
      <c r="AS189" s="20"/>
      <c r="AT189" s="1057"/>
    </row>
    <row r="190" spans="36:46" ht="15" customHeight="1">
      <c r="AJ190" s="20"/>
      <c r="AN190" s="20"/>
      <c r="AO190" s="20"/>
      <c r="AP190" s="20"/>
      <c r="AQ190" s="20"/>
      <c r="AR190" s="20"/>
      <c r="AS190" s="20"/>
      <c r="AT190" s="1057"/>
    </row>
    <row r="191" spans="36:46" ht="15" customHeight="1">
      <c r="AJ191" s="20"/>
      <c r="AN191" s="20"/>
      <c r="AO191" s="20"/>
      <c r="AP191" s="20"/>
      <c r="AQ191" s="20"/>
      <c r="AR191" s="20"/>
      <c r="AS191" s="20"/>
      <c r="AT191" s="1057"/>
    </row>
    <row r="192" spans="36:46" ht="15" customHeight="1">
      <c r="AJ192" s="20"/>
      <c r="AN192" s="20"/>
      <c r="AO192" s="20"/>
      <c r="AP192" s="20"/>
      <c r="AQ192" s="20"/>
      <c r="AR192" s="20"/>
      <c r="AS192" s="20"/>
      <c r="AT192" s="1057"/>
    </row>
    <row r="193" spans="36:46" ht="15" customHeight="1">
      <c r="AJ193" s="20"/>
      <c r="AN193" s="20"/>
      <c r="AO193" s="20"/>
      <c r="AP193" s="20"/>
      <c r="AQ193" s="20"/>
      <c r="AR193" s="20"/>
      <c r="AS193" s="20"/>
      <c r="AT193" s="1057"/>
    </row>
    <row r="194" spans="36:46" ht="15" customHeight="1">
      <c r="AJ194" s="20"/>
      <c r="AN194" s="20"/>
      <c r="AO194" s="20"/>
      <c r="AP194" s="20"/>
      <c r="AQ194" s="20"/>
      <c r="AR194" s="20"/>
      <c r="AS194" s="20"/>
      <c r="AT194" s="1057"/>
    </row>
    <row r="195" spans="36:46" ht="15" customHeight="1">
      <c r="AJ195" s="20"/>
      <c r="AN195" s="20"/>
      <c r="AO195" s="20"/>
      <c r="AP195" s="20"/>
      <c r="AQ195" s="20"/>
      <c r="AR195" s="20"/>
      <c r="AS195" s="20"/>
      <c r="AT195" s="1057"/>
    </row>
    <row r="196" spans="36:46" ht="15" customHeight="1">
      <c r="AJ196" s="20"/>
      <c r="AN196" s="20"/>
      <c r="AO196" s="20"/>
      <c r="AP196" s="20"/>
      <c r="AQ196" s="20"/>
      <c r="AR196" s="20"/>
      <c r="AS196" s="20"/>
      <c r="AT196" s="1057"/>
    </row>
    <row r="197" spans="36:46" ht="15" customHeight="1">
      <c r="AJ197" s="20"/>
      <c r="AN197" s="20"/>
      <c r="AO197" s="20"/>
      <c r="AP197" s="20"/>
      <c r="AQ197" s="20"/>
      <c r="AR197" s="20"/>
      <c r="AS197" s="20"/>
      <c r="AT197" s="1057"/>
    </row>
    <row r="198" spans="36:46" ht="15" customHeight="1">
      <c r="AJ198" s="20"/>
      <c r="AN198" s="20"/>
      <c r="AO198" s="20"/>
      <c r="AP198" s="20"/>
      <c r="AQ198" s="20"/>
      <c r="AR198" s="20"/>
      <c r="AS198" s="20"/>
      <c r="AT198" s="1057"/>
    </row>
    <row r="199" spans="36:46" ht="15" customHeight="1">
      <c r="AJ199" s="20"/>
      <c r="AN199" s="20"/>
      <c r="AO199" s="20"/>
      <c r="AP199" s="20"/>
      <c r="AQ199" s="20"/>
      <c r="AR199" s="20"/>
      <c r="AS199" s="20"/>
      <c r="AT199" s="1057"/>
    </row>
    <row r="200" spans="36:46" ht="15" customHeight="1">
      <c r="AJ200" s="20"/>
      <c r="AN200" s="20"/>
      <c r="AO200" s="20"/>
      <c r="AP200" s="20"/>
      <c r="AQ200" s="20"/>
      <c r="AR200" s="20"/>
      <c r="AS200" s="20"/>
      <c r="AT200" s="1057"/>
    </row>
    <row r="201" spans="36:46" ht="15" customHeight="1">
      <c r="AJ201" s="20"/>
      <c r="AN201" s="20"/>
      <c r="AO201" s="20"/>
      <c r="AP201" s="20"/>
      <c r="AQ201" s="20"/>
      <c r="AR201" s="20"/>
      <c r="AS201" s="20"/>
      <c r="AT201" s="1057"/>
    </row>
    <row r="202" spans="36:46" ht="15" customHeight="1">
      <c r="AJ202" s="20"/>
      <c r="AN202" s="20"/>
      <c r="AO202" s="20"/>
      <c r="AP202" s="20"/>
      <c r="AQ202" s="20"/>
      <c r="AR202" s="20"/>
      <c r="AS202" s="20"/>
      <c r="AT202" s="1057"/>
    </row>
    <row r="203" spans="36:46" ht="15" customHeight="1">
      <c r="AJ203" s="20"/>
      <c r="AN203" s="20"/>
      <c r="AO203" s="20"/>
      <c r="AP203" s="20"/>
      <c r="AQ203" s="20"/>
      <c r="AR203" s="20"/>
      <c r="AS203" s="20"/>
      <c r="AT203" s="1057"/>
    </row>
    <row r="204" spans="36:46" ht="15" customHeight="1">
      <c r="AJ204" s="20"/>
      <c r="AN204" s="20"/>
      <c r="AO204" s="20"/>
      <c r="AP204" s="20"/>
      <c r="AQ204" s="20"/>
      <c r="AR204" s="20"/>
      <c r="AS204" s="20"/>
      <c r="AT204" s="1057"/>
    </row>
    <row r="205" spans="36:46" ht="15" customHeight="1">
      <c r="AJ205" s="20"/>
      <c r="AN205" s="20"/>
      <c r="AO205" s="20"/>
      <c r="AP205" s="20"/>
      <c r="AQ205" s="20"/>
      <c r="AR205" s="20"/>
      <c r="AS205" s="20"/>
      <c r="AT205" s="1057"/>
    </row>
    <row r="206" spans="36:46" ht="15" customHeight="1">
      <c r="AJ206" s="20"/>
      <c r="AN206" s="20"/>
      <c r="AO206" s="20"/>
      <c r="AP206" s="20"/>
      <c r="AQ206" s="20"/>
      <c r="AR206" s="20"/>
      <c r="AS206" s="20"/>
      <c r="AT206" s="1057"/>
    </row>
    <row r="207" spans="36:46" ht="15" customHeight="1">
      <c r="AJ207" s="20"/>
      <c r="AN207" s="20"/>
      <c r="AO207" s="20"/>
      <c r="AP207" s="20"/>
      <c r="AQ207" s="20"/>
      <c r="AR207" s="20"/>
      <c r="AS207" s="20"/>
      <c r="AT207" s="1057"/>
    </row>
    <row r="208" spans="36:46" ht="15" customHeight="1">
      <c r="AJ208" s="20"/>
      <c r="AN208" s="20"/>
      <c r="AO208" s="20"/>
      <c r="AP208" s="20"/>
      <c r="AQ208" s="20"/>
      <c r="AR208" s="20"/>
      <c r="AS208" s="20"/>
      <c r="AT208" s="1057"/>
    </row>
    <row r="209" spans="36:46" ht="15" customHeight="1">
      <c r="AJ209" s="20"/>
      <c r="AN209" s="20"/>
      <c r="AO209" s="20"/>
      <c r="AP209" s="20"/>
      <c r="AQ209" s="20"/>
      <c r="AR209" s="20"/>
      <c r="AS209" s="20"/>
      <c r="AT209" s="1057"/>
    </row>
    <row r="210" spans="36:46" ht="15" customHeight="1">
      <c r="AJ210" s="20"/>
      <c r="AN210" s="20"/>
      <c r="AO210" s="20"/>
      <c r="AP210" s="20"/>
      <c r="AQ210" s="20"/>
      <c r="AR210" s="20"/>
      <c r="AS210" s="20"/>
      <c r="AT210" s="1057"/>
    </row>
    <row r="211" spans="36:46" ht="15" customHeight="1">
      <c r="AJ211" s="20"/>
      <c r="AN211" s="20"/>
      <c r="AO211" s="20"/>
      <c r="AP211" s="20"/>
      <c r="AQ211" s="20"/>
      <c r="AR211" s="20"/>
      <c r="AS211" s="20"/>
      <c r="AT211" s="1057"/>
    </row>
    <row r="212" spans="36:46" ht="15" customHeight="1">
      <c r="AJ212" s="20"/>
      <c r="AN212" s="20"/>
      <c r="AO212" s="20"/>
      <c r="AP212" s="20"/>
      <c r="AQ212" s="20"/>
      <c r="AR212" s="20"/>
      <c r="AS212" s="20"/>
      <c r="AT212" s="1057"/>
    </row>
    <row r="213" spans="36:46" ht="15" customHeight="1">
      <c r="AJ213" s="20"/>
      <c r="AN213" s="20"/>
      <c r="AO213" s="20"/>
      <c r="AP213" s="20"/>
      <c r="AQ213" s="20"/>
      <c r="AR213" s="20"/>
      <c r="AS213" s="20"/>
      <c r="AT213" s="1057"/>
    </row>
    <row r="214" spans="36:46" ht="15" customHeight="1">
      <c r="AJ214" s="20"/>
      <c r="AN214" s="20"/>
      <c r="AO214" s="20"/>
      <c r="AP214" s="20"/>
      <c r="AQ214" s="20"/>
      <c r="AR214" s="20"/>
      <c r="AS214" s="20"/>
      <c r="AT214" s="1057"/>
    </row>
    <row r="215" spans="36:46" ht="15" customHeight="1">
      <c r="AJ215" s="20"/>
      <c r="AN215" s="20"/>
      <c r="AO215" s="20"/>
      <c r="AP215" s="20"/>
      <c r="AQ215" s="20"/>
      <c r="AR215" s="20"/>
      <c r="AS215" s="20"/>
      <c r="AT215" s="1057"/>
    </row>
    <row r="216" spans="36:46" ht="15" customHeight="1">
      <c r="AJ216" s="20"/>
      <c r="AN216" s="20"/>
      <c r="AO216" s="20"/>
      <c r="AP216" s="20"/>
      <c r="AQ216" s="20"/>
      <c r="AR216" s="20"/>
      <c r="AS216" s="20"/>
      <c r="AT216" s="1057"/>
    </row>
    <row r="217" spans="36:46" ht="15" customHeight="1">
      <c r="AJ217" s="20"/>
      <c r="AN217" s="20"/>
      <c r="AO217" s="34"/>
      <c r="AP217" s="34"/>
      <c r="AQ217" s="34"/>
      <c r="AR217" s="34"/>
      <c r="AS217" s="34"/>
      <c r="AT217" s="1029"/>
    </row>
    <row r="218" spans="36:46" ht="15" customHeight="1">
      <c r="AJ218" s="20"/>
      <c r="AN218" s="20"/>
      <c r="AO218" s="34"/>
      <c r="AP218" s="34"/>
      <c r="AQ218" s="34"/>
      <c r="AR218" s="34"/>
      <c r="AS218" s="34"/>
      <c r="AT218" s="1029"/>
    </row>
    <row r="219" spans="36:46" ht="15" customHeight="1">
      <c r="AJ219" s="20"/>
      <c r="AN219" s="20"/>
      <c r="AO219" s="34"/>
      <c r="AP219" s="34"/>
      <c r="AQ219" s="34"/>
      <c r="AR219" s="34"/>
      <c r="AS219" s="34"/>
      <c r="AT219" s="1029"/>
    </row>
    <row r="220" spans="36:46" ht="15" customHeight="1">
      <c r="AJ220" s="20"/>
      <c r="AN220" s="20"/>
      <c r="AO220" s="34"/>
      <c r="AP220" s="34"/>
      <c r="AQ220" s="34"/>
      <c r="AR220" s="34"/>
      <c r="AS220" s="34"/>
      <c r="AT220" s="1029"/>
    </row>
    <row r="221" spans="36:46" ht="15" customHeight="1">
      <c r="AJ221" s="20"/>
      <c r="AN221" s="20"/>
      <c r="AO221" s="34"/>
      <c r="AP221" s="34"/>
      <c r="AQ221" s="34"/>
      <c r="AR221" s="34"/>
      <c r="AS221" s="34"/>
      <c r="AT221" s="1029"/>
    </row>
    <row r="222" spans="36:46" ht="15" customHeight="1">
      <c r="AJ222" s="20"/>
      <c r="AN222" s="20"/>
      <c r="AO222" s="34"/>
      <c r="AP222" s="34"/>
      <c r="AQ222" s="34"/>
      <c r="AR222" s="34"/>
      <c r="AS222" s="34"/>
      <c r="AT222" s="1029"/>
    </row>
    <row r="223" spans="36:46" ht="15" customHeight="1">
      <c r="AJ223" s="34"/>
      <c r="AN223" s="20"/>
      <c r="AO223" s="34"/>
      <c r="AP223" s="34"/>
      <c r="AQ223" s="34"/>
      <c r="AR223" s="34"/>
      <c r="AS223" s="34"/>
      <c r="AT223" s="1029"/>
    </row>
    <row r="224" spans="36:46" ht="15" customHeight="1">
      <c r="AJ224" s="34"/>
      <c r="AN224" s="20"/>
      <c r="AO224" s="34"/>
      <c r="AP224" s="34"/>
      <c r="AQ224" s="34"/>
      <c r="AR224" s="34"/>
      <c r="AS224" s="34"/>
      <c r="AT224" s="1029"/>
    </row>
    <row r="225" spans="36:46" ht="15" customHeight="1">
      <c r="AJ225" s="34"/>
      <c r="AN225" s="20"/>
      <c r="AO225" s="34"/>
      <c r="AP225" s="34"/>
      <c r="AQ225" s="34"/>
      <c r="AR225" s="34"/>
      <c r="AS225" s="34"/>
      <c r="AT225" s="1029"/>
    </row>
    <row r="226" spans="36:46" ht="15" customHeight="1">
      <c r="AJ226" s="20"/>
      <c r="AN226" s="20"/>
      <c r="AO226" s="34"/>
      <c r="AP226" s="34"/>
      <c r="AQ226" s="34"/>
      <c r="AR226" s="34"/>
      <c r="AS226" s="34"/>
      <c r="AT226" s="1029"/>
    </row>
    <row r="227" spans="36:46" ht="15" customHeight="1">
      <c r="AJ227" s="20"/>
      <c r="AN227" s="20"/>
      <c r="AO227" s="34"/>
      <c r="AP227" s="34"/>
      <c r="AQ227" s="34"/>
      <c r="AR227" s="34"/>
      <c r="AS227" s="34"/>
      <c r="AT227" s="1029"/>
    </row>
    <row r="228" spans="36:46" ht="15" customHeight="1">
      <c r="AJ228" s="20"/>
      <c r="AN228" s="20"/>
      <c r="AO228" s="34"/>
      <c r="AP228" s="34"/>
      <c r="AQ228" s="34"/>
      <c r="AR228" s="34"/>
      <c r="AS228" s="34"/>
      <c r="AT228" s="1029"/>
    </row>
    <row r="229" spans="36:46" ht="15" customHeight="1">
      <c r="AJ229" s="20"/>
      <c r="AN229" s="20"/>
      <c r="AO229" s="34"/>
      <c r="AP229" s="34"/>
      <c r="AQ229" s="34"/>
      <c r="AR229" s="34"/>
      <c r="AS229" s="34"/>
      <c r="AT229" s="1029"/>
    </row>
    <row r="230" spans="36:46" ht="15" customHeight="1">
      <c r="AJ230" s="20"/>
      <c r="AN230" s="20"/>
      <c r="AO230" s="34"/>
      <c r="AP230" s="34"/>
      <c r="AQ230" s="34"/>
      <c r="AR230" s="34"/>
      <c r="AS230" s="34"/>
      <c r="AT230" s="1029"/>
    </row>
    <row r="231" spans="36:46" ht="15" customHeight="1">
      <c r="AJ231" s="34"/>
      <c r="AN231" s="20"/>
      <c r="AO231" s="34"/>
      <c r="AP231" s="34"/>
      <c r="AQ231" s="34"/>
      <c r="AR231" s="34"/>
      <c r="AS231" s="34"/>
      <c r="AT231" s="1029"/>
    </row>
    <row r="232" spans="40:46" ht="15" customHeight="1">
      <c r="AN232" s="20"/>
      <c r="AO232" s="34"/>
      <c r="AP232" s="34"/>
      <c r="AQ232" s="34"/>
      <c r="AR232" s="34"/>
      <c r="AS232" s="34"/>
      <c r="AT232" s="1029"/>
    </row>
    <row r="233" spans="40:46" ht="15" customHeight="1">
      <c r="AN233" s="20"/>
      <c r="AO233" s="34"/>
      <c r="AP233" s="34"/>
      <c r="AQ233" s="34"/>
      <c r="AR233" s="34"/>
      <c r="AS233" s="34"/>
      <c r="AT233" s="1029"/>
    </row>
    <row r="234" spans="40:46" ht="15" customHeight="1">
      <c r="AN234" s="20"/>
      <c r="AO234" s="34"/>
      <c r="AP234" s="34"/>
      <c r="AQ234" s="34"/>
      <c r="AR234" s="34"/>
      <c r="AS234" s="34"/>
      <c r="AT234" s="1029"/>
    </row>
    <row r="235" spans="40:46" ht="15" customHeight="1">
      <c r="AN235" s="20"/>
      <c r="AO235" s="34"/>
      <c r="AP235" s="34"/>
      <c r="AQ235" s="34"/>
      <c r="AR235" s="34"/>
      <c r="AS235" s="34"/>
      <c r="AT235" s="1029"/>
    </row>
    <row r="236" spans="40:46" ht="15" customHeight="1">
      <c r="AN236" s="20"/>
      <c r="AO236" s="34"/>
      <c r="AP236" s="34"/>
      <c r="AQ236" s="34"/>
      <c r="AR236" s="34"/>
      <c r="AS236" s="34"/>
      <c r="AT236" s="1029"/>
    </row>
    <row r="237" spans="40:46" ht="15" customHeight="1">
      <c r="AN237" s="20"/>
      <c r="AO237" s="34"/>
      <c r="AP237" s="34"/>
      <c r="AQ237" s="34"/>
      <c r="AR237" s="34"/>
      <c r="AS237" s="34"/>
      <c r="AT237" s="1029"/>
    </row>
    <row r="238" ht="15" customHeight="1">
      <c r="AN238" s="20"/>
    </row>
    <row r="239" ht="15" customHeight="1">
      <c r="AN239" s="20"/>
    </row>
    <row r="259" spans="58:59" ht="15" customHeight="1">
      <c r="BF259" s="99"/>
      <c r="BG259" s="99"/>
    </row>
    <row r="260" spans="58:59" ht="15" customHeight="1">
      <c r="BF260" s="99"/>
      <c r="BG260" s="99"/>
    </row>
    <row r="261" spans="58:59" ht="15" customHeight="1">
      <c r="BF261" s="99"/>
      <c r="BG261" s="99"/>
    </row>
    <row r="262" spans="58:59" ht="15" customHeight="1">
      <c r="BF262" s="99"/>
      <c r="BG262" s="99"/>
    </row>
    <row r="263" spans="58:59" ht="15" customHeight="1">
      <c r="BF263" s="99"/>
      <c r="BG263" s="99"/>
    </row>
  </sheetData>
  <sheetProtection password="C0FC" sheet="1"/>
  <mergeCells count="2">
    <mergeCell ref="AD56:AE56"/>
    <mergeCell ref="AF56:AG56"/>
  </mergeCells>
  <printOptions horizontalCentered="1"/>
  <pageMargins left="0.7874015748031497" right="0.3937007874015748" top="0.7086614173228347" bottom="0.7086614173228347" header="0.3937007874015748" footer="0.5118110236220472"/>
  <pageSetup fitToHeight="1" fitToWidth="1" horizontalDpi="300" verticalDpi="300" orientation="portrait" paperSize="9" scale="83" r:id="rId3"/>
  <headerFooter alignWithMargins="0">
    <oddHeader>&amp;C
&amp;R&amp;"Verdana,Negrita"&amp;8TAMBO 2006 &amp;"Verdana,Normal"- Modelo de Análisis: Tambo, Invernada y Agricultura
</oddHeader>
    <oddFooter>&amp;C&amp;"Arial,Cursiva"&amp;9Administración  de Organizaciones - Facultad de Ciencias Agrarias - UNL</oddFooter>
  </headerFooter>
  <legacyDrawing r:id="rId2"/>
</worksheet>
</file>

<file path=xl/worksheets/sheet4.xml><?xml version="1.0" encoding="utf-8"?>
<worksheet xmlns="http://schemas.openxmlformats.org/spreadsheetml/2006/main" xmlns:r="http://schemas.openxmlformats.org/officeDocument/2006/relationships">
  <sheetPr codeName="Hoja4">
    <pageSetUpPr fitToPage="1"/>
  </sheetPr>
  <dimension ref="A1:AX164"/>
  <sheetViews>
    <sheetView showGridLines="0" zoomScale="85" zoomScaleNormal="85" zoomScalePageLayoutView="0" workbookViewId="0" topLeftCell="A58">
      <selection activeCell="C102" sqref="C102"/>
    </sheetView>
  </sheetViews>
  <sheetFormatPr defaultColWidth="8.59765625" defaultRowHeight="15"/>
  <cols>
    <col min="1" max="1" width="29.796875" style="197" customWidth="1"/>
    <col min="2" max="2" width="12.19921875" style="197" customWidth="1"/>
    <col min="3" max="3" width="14.19921875" style="197" customWidth="1"/>
    <col min="4" max="4" width="16.19921875" style="197" customWidth="1"/>
    <col min="5" max="5" width="33.69921875" style="9" customWidth="1"/>
    <col min="6" max="6" width="27.3984375" style="9" customWidth="1"/>
    <col min="7" max="7" width="11.296875" style="9" customWidth="1"/>
    <col min="8" max="8" width="13.59765625" style="9" customWidth="1"/>
    <col min="9" max="9" width="15.09765625" style="9" customWidth="1"/>
    <col min="10" max="10" width="35.59765625" style="9" customWidth="1"/>
    <col min="11" max="11" width="24.59765625" style="9" customWidth="1"/>
    <col min="12" max="12" width="10.69921875" style="9" customWidth="1"/>
    <col min="13" max="13" width="14.19921875" style="9" customWidth="1"/>
    <col min="14" max="14" width="10.296875" style="9" customWidth="1"/>
    <col min="15" max="15" width="57.09765625" style="9" customWidth="1"/>
    <col min="16" max="16" width="30.69921875" style="9" customWidth="1"/>
    <col min="17" max="17" width="13" style="9" customWidth="1"/>
    <col min="18" max="18" width="13.296875" style="9" customWidth="1"/>
    <col min="19" max="19" width="12" style="9" customWidth="1"/>
    <col min="20" max="20" width="35.296875" style="9" customWidth="1"/>
    <col min="21" max="21" width="24.59765625" style="9" customWidth="1"/>
    <col min="22" max="22" width="10.296875" style="9" customWidth="1"/>
    <col min="23" max="23" width="13.19921875" style="9" customWidth="1"/>
    <col min="24" max="26" width="10.296875" style="9" customWidth="1"/>
    <col min="27" max="27" width="2.8984375" style="9" customWidth="1"/>
    <col min="28" max="28" width="25" style="9" customWidth="1"/>
    <col min="29" max="29" width="11.59765625" style="9" customWidth="1"/>
    <col min="30" max="30" width="12.09765625" style="9" customWidth="1"/>
    <col min="31" max="31" width="9" style="9" customWidth="1"/>
    <col min="32" max="32" width="72.69921875" style="9" customWidth="1"/>
    <col min="33" max="33" width="24.59765625" style="9" customWidth="1"/>
    <col min="34" max="34" width="10" style="9" customWidth="1"/>
    <col min="35" max="35" width="13.09765625" style="9" customWidth="1"/>
    <col min="36" max="36" width="9" style="9" customWidth="1"/>
    <col min="37" max="37" width="53.69921875" style="9" customWidth="1"/>
    <col min="38" max="38" width="25.09765625" style="9" customWidth="1"/>
    <col min="39" max="39" width="10" style="9" customWidth="1"/>
    <col min="40" max="40" width="13.09765625" style="9" customWidth="1"/>
    <col min="41" max="41" width="9" style="9" customWidth="1"/>
    <col min="42" max="42" width="53" style="9" customWidth="1"/>
    <col min="43" max="43" width="27" style="9" customWidth="1"/>
    <col min="44" max="44" width="8.796875" style="9" customWidth="1"/>
    <col min="45" max="45" width="12.59765625" style="9" customWidth="1"/>
    <col min="46" max="46" width="9" style="9" customWidth="1"/>
    <col min="47" max="47" width="10.296875" style="9" customWidth="1"/>
    <col min="48" max="48" width="8.59765625" style="9" customWidth="1"/>
    <col min="49" max="49" width="24.59765625" style="9" customWidth="1"/>
    <col min="50" max="50" width="8.59765625" style="9" customWidth="1"/>
    <col min="51" max="51" width="12.09765625" style="9" customWidth="1"/>
    <col min="52" max="52" width="10.296875" style="9" customWidth="1"/>
    <col min="53" max="53" width="8.59765625" style="9" customWidth="1"/>
    <col min="54" max="54" width="24.59765625" style="9" customWidth="1"/>
    <col min="55" max="55" width="8.59765625" style="9" customWidth="1"/>
    <col min="56" max="56" width="12.09765625" style="9" customWidth="1"/>
    <col min="57" max="57" width="10.296875" style="9" customWidth="1"/>
    <col min="58" max="58" width="8.59765625" style="9" customWidth="1"/>
    <col min="59" max="59" width="24.59765625" style="9" customWidth="1"/>
    <col min="60" max="60" width="8.59765625" style="9" customWidth="1"/>
    <col min="61" max="61" width="12.09765625" style="9" customWidth="1"/>
    <col min="62" max="62" width="10.296875" style="9" customWidth="1"/>
    <col min="63" max="63" width="8.59765625" style="9" customWidth="1"/>
    <col min="64" max="64" width="24.59765625" style="9" customWidth="1"/>
    <col min="65" max="65" width="8.59765625" style="9" customWidth="1"/>
    <col min="66" max="66" width="12.09765625" style="9" customWidth="1"/>
    <col min="67" max="67" width="10.296875" style="9" customWidth="1"/>
    <col min="68" max="68" width="8.59765625" style="9" customWidth="1"/>
    <col min="69" max="69" width="24.59765625" style="9" customWidth="1"/>
    <col min="70" max="70" width="8.59765625" style="9" customWidth="1"/>
    <col min="71" max="71" width="12.09765625" style="9" customWidth="1"/>
    <col min="72" max="73" width="10.296875" style="9" customWidth="1"/>
    <col min="74" max="74" width="24.59765625" style="9" customWidth="1"/>
    <col min="75" max="75" width="8.59765625" style="9" customWidth="1"/>
    <col min="76" max="76" width="12.09765625" style="9" customWidth="1"/>
    <col min="77" max="77" width="10.296875" style="9" customWidth="1"/>
    <col min="78" max="78" width="8.59765625" style="9" customWidth="1"/>
    <col min="79" max="79" width="24.59765625" style="9" customWidth="1"/>
    <col min="80" max="80" width="8.59765625" style="9" customWidth="1"/>
    <col min="81" max="81" width="12.09765625" style="9" customWidth="1"/>
    <col min="82" max="82" width="10.296875" style="9" customWidth="1"/>
    <col min="83" max="83" width="8.59765625" style="9" customWidth="1"/>
    <col min="84" max="84" width="24.59765625" style="9" customWidth="1"/>
    <col min="85" max="85" width="8.59765625" style="9" customWidth="1"/>
    <col min="86" max="86" width="12.09765625" style="9" customWidth="1"/>
    <col min="87" max="87" width="10.296875" style="9" customWidth="1"/>
    <col min="88" max="88" width="8.59765625" style="9" customWidth="1"/>
    <col min="89" max="89" width="24.59765625" style="9" customWidth="1"/>
    <col min="90" max="90" width="8.59765625" style="9" customWidth="1"/>
    <col min="91" max="91" width="12.09765625" style="9" customWidth="1"/>
    <col min="92" max="92" width="10.296875" style="9" customWidth="1"/>
    <col min="93" max="93" width="8.59765625" style="9" customWidth="1"/>
    <col min="94" max="94" width="24.59765625" style="9" customWidth="1"/>
    <col min="95" max="95" width="8.59765625" style="9" customWidth="1"/>
    <col min="96" max="96" width="12.09765625" style="9" customWidth="1"/>
    <col min="97" max="97" width="10.296875" style="9" customWidth="1"/>
    <col min="98" max="98" width="8.59765625" style="9" customWidth="1"/>
    <col min="99" max="99" width="24.59765625" style="9" customWidth="1"/>
    <col min="100" max="100" width="8.59765625" style="9" customWidth="1"/>
    <col min="101" max="101" width="12.09765625" style="9" customWidth="1"/>
    <col min="102" max="102" width="10.296875" style="9" customWidth="1"/>
    <col min="103" max="103" width="8.59765625" style="9" customWidth="1"/>
    <col min="104" max="104" width="24.59765625" style="9" customWidth="1"/>
    <col min="105" max="105" width="8.59765625" style="9" customWidth="1"/>
    <col min="106" max="106" width="12.09765625" style="9" customWidth="1"/>
    <col min="107" max="107" width="10.296875" style="9" customWidth="1"/>
    <col min="108" max="108" width="8.59765625" style="9" customWidth="1"/>
    <col min="109" max="109" width="24.59765625" style="9" customWidth="1"/>
    <col min="110" max="110" width="8.59765625" style="9" customWidth="1"/>
    <col min="111" max="111" width="12.09765625" style="9" customWidth="1"/>
    <col min="112" max="112" width="10.296875" style="9" customWidth="1"/>
    <col min="113" max="113" width="8.59765625" style="9" customWidth="1"/>
    <col min="114" max="114" width="24.59765625" style="9" customWidth="1"/>
    <col min="115" max="115" width="8.59765625" style="9" customWidth="1"/>
    <col min="116" max="116" width="12.09765625" style="9" customWidth="1"/>
    <col min="117" max="117" width="10.296875" style="9" customWidth="1"/>
    <col min="118" max="118" width="8.59765625" style="9" customWidth="1"/>
    <col min="119" max="119" width="24.59765625" style="9" customWidth="1"/>
    <col min="120" max="120" width="8.59765625" style="9" customWidth="1"/>
    <col min="121" max="121" width="12.09765625" style="9" customWidth="1"/>
    <col min="122" max="122" width="10.296875" style="9" customWidth="1"/>
    <col min="123" max="124" width="8.59765625" style="9" customWidth="1"/>
    <col min="125" max="125" width="24.59765625" style="9" customWidth="1"/>
    <col min="126" max="126" width="11.19921875" style="9" customWidth="1"/>
    <col min="127" max="150" width="8.59765625" style="9" customWidth="1"/>
    <col min="151" max="154" width="9.3984375" style="9" customWidth="1"/>
    <col min="155" max="156" width="8.59765625" style="9" customWidth="1"/>
    <col min="157" max="157" width="24.59765625" style="9" customWidth="1"/>
    <col min="158" max="158" width="10.296875" style="9" customWidth="1"/>
    <col min="159" max="168" width="9.3984375" style="9" customWidth="1"/>
    <col min="169" max="171" width="8.59765625" style="9" customWidth="1"/>
    <col min="172" max="172" width="24.59765625" style="9" customWidth="1"/>
    <col min="173" max="174" width="8.59765625" style="9" customWidth="1"/>
    <col min="175" max="175" width="24.59765625" style="9" customWidth="1"/>
    <col min="176" max="177" width="8.59765625" style="9" customWidth="1"/>
    <col min="178" max="178" width="19.19921875" style="9" customWidth="1"/>
    <col min="179" max="180" width="8.59765625" style="9" customWidth="1"/>
    <col min="181" max="181" width="19.19921875" style="9" customWidth="1"/>
    <col min="182" max="183" width="8.59765625" style="9" customWidth="1"/>
    <col min="184" max="184" width="1.390625" style="9" customWidth="1"/>
    <col min="185" max="16384" width="8.59765625" style="9" customWidth="1"/>
  </cols>
  <sheetData>
    <row r="1" spans="1:49" ht="24.75" customHeight="1">
      <c r="A1" s="238" t="s">
        <v>566</v>
      </c>
      <c r="C1" s="166"/>
      <c r="D1" s="166"/>
      <c r="F1" s="238" t="s">
        <v>567</v>
      </c>
      <c r="G1" s="197"/>
      <c r="H1" s="166"/>
      <c r="I1" s="166"/>
      <c r="K1" s="238" t="s">
        <v>568</v>
      </c>
      <c r="L1" s="197"/>
      <c r="M1" s="166"/>
      <c r="N1" s="166"/>
      <c r="P1" s="238" t="s">
        <v>569</v>
      </c>
      <c r="Q1" s="197"/>
      <c r="R1" s="166"/>
      <c r="S1" s="166"/>
      <c r="U1" s="238" t="s">
        <v>570</v>
      </c>
      <c r="V1" s="197"/>
      <c r="W1" s="166"/>
      <c r="X1" s="166"/>
      <c r="Y1" s="166"/>
      <c r="Z1" s="166"/>
      <c r="AA1" s="166"/>
      <c r="AB1" s="238" t="s">
        <v>571</v>
      </c>
      <c r="AC1" s="197"/>
      <c r="AD1" s="166"/>
      <c r="AE1" s="166"/>
      <c r="AG1" s="238" t="s">
        <v>572</v>
      </c>
      <c r="AH1" s="197"/>
      <c r="AI1" s="166"/>
      <c r="AJ1" s="166"/>
      <c r="AL1" s="238" t="s">
        <v>573</v>
      </c>
      <c r="AM1" s="197"/>
      <c r="AN1" s="166"/>
      <c r="AO1" s="166"/>
      <c r="AQ1" s="238" t="s">
        <v>574</v>
      </c>
      <c r="AR1" s="197"/>
      <c r="AS1" s="166"/>
      <c r="AT1" s="166"/>
      <c r="AU1" s="166"/>
      <c r="AV1" s="166"/>
      <c r="AW1" s="166"/>
    </row>
    <row r="2" spans="3:49" ht="12.75">
      <c r="C2" s="166"/>
      <c r="D2" s="166"/>
      <c r="F2" s="197"/>
      <c r="G2" s="197"/>
      <c r="H2" s="166"/>
      <c r="I2" s="166"/>
      <c r="K2" s="197"/>
      <c r="L2" s="197"/>
      <c r="M2" s="166"/>
      <c r="N2" s="166"/>
      <c r="P2" s="197"/>
      <c r="Q2" s="197"/>
      <c r="R2" s="166"/>
      <c r="S2" s="166"/>
      <c r="U2" s="197"/>
      <c r="V2" s="197"/>
      <c r="W2" s="166"/>
      <c r="X2" s="166"/>
      <c r="Y2" s="166"/>
      <c r="Z2" s="166"/>
      <c r="AA2" s="166"/>
      <c r="AB2" s="197"/>
      <c r="AC2" s="197"/>
      <c r="AD2" s="166"/>
      <c r="AE2" s="166"/>
      <c r="AG2" s="197"/>
      <c r="AH2" s="197"/>
      <c r="AI2" s="166"/>
      <c r="AJ2" s="166"/>
      <c r="AL2" s="197"/>
      <c r="AM2" s="197"/>
      <c r="AN2" s="166"/>
      <c r="AO2" s="166"/>
      <c r="AQ2" s="197"/>
      <c r="AR2" s="197"/>
      <c r="AS2" s="166"/>
      <c r="AT2" s="166"/>
      <c r="AU2" s="166"/>
      <c r="AV2" s="166"/>
      <c r="AW2" s="166"/>
    </row>
    <row r="3" spans="1:49" ht="12.75">
      <c r="A3" s="372" t="s">
        <v>575</v>
      </c>
      <c r="B3" s="1263" t="s">
        <v>1196</v>
      </c>
      <c r="C3" s="166"/>
      <c r="D3" s="166"/>
      <c r="F3" s="198" t="s">
        <v>575</v>
      </c>
      <c r="G3" s="1263" t="s">
        <v>1196</v>
      </c>
      <c r="H3" s="166"/>
      <c r="I3" s="166"/>
      <c r="K3" s="372" t="s">
        <v>575</v>
      </c>
      <c r="L3" s="1263" t="s">
        <v>1196</v>
      </c>
      <c r="M3" s="166"/>
      <c r="N3" s="166"/>
      <c r="P3" s="372" t="s">
        <v>575</v>
      </c>
      <c r="Q3" s="1263" t="s">
        <v>1196</v>
      </c>
      <c r="R3" s="166"/>
      <c r="S3" s="166"/>
      <c r="U3" s="372" t="s">
        <v>575</v>
      </c>
      <c r="V3" s="1263" t="s">
        <v>1196</v>
      </c>
      <c r="W3" s="166"/>
      <c r="X3" s="166"/>
      <c r="Y3" s="166"/>
      <c r="Z3" s="166"/>
      <c r="AA3" s="166"/>
      <c r="AB3" s="198" t="s">
        <v>575</v>
      </c>
      <c r="AC3" s="1263" t="s">
        <v>1196</v>
      </c>
      <c r="AD3" s="166"/>
      <c r="AE3" s="166"/>
      <c r="AG3" s="372" t="s">
        <v>575</v>
      </c>
      <c r="AH3" s="1263" t="s">
        <v>1196</v>
      </c>
      <c r="AI3" s="166"/>
      <c r="AJ3" s="166"/>
      <c r="AL3" s="372" t="s">
        <v>575</v>
      </c>
      <c r="AM3" s="1263" t="s">
        <v>1196</v>
      </c>
      <c r="AN3" s="166"/>
      <c r="AO3" s="166"/>
      <c r="AQ3" s="372" t="s">
        <v>575</v>
      </c>
      <c r="AR3" s="1263" t="s">
        <v>1196</v>
      </c>
      <c r="AS3" s="166"/>
      <c r="AT3" s="713"/>
      <c r="AU3" s="166"/>
      <c r="AV3" s="166"/>
      <c r="AW3" s="166"/>
    </row>
    <row r="4" spans="1:49" ht="12.75">
      <c r="A4" s="199" t="s">
        <v>576</v>
      </c>
      <c r="B4" s="391">
        <v>0</v>
      </c>
      <c r="C4" s="150"/>
      <c r="D4" s="166"/>
      <c r="F4" s="199" t="s">
        <v>576</v>
      </c>
      <c r="G4" s="391">
        <v>0</v>
      </c>
      <c r="H4" s="166"/>
      <c r="I4" s="166"/>
      <c r="K4" s="199" t="s">
        <v>576</v>
      </c>
      <c r="L4" s="391">
        <v>0</v>
      </c>
      <c r="M4" s="166"/>
      <c r="N4" s="166"/>
      <c r="P4" s="199" t="s">
        <v>576</v>
      </c>
      <c r="Q4" s="391">
        <v>0</v>
      </c>
      <c r="R4" s="166"/>
      <c r="S4" s="166"/>
      <c r="U4" s="199" t="s">
        <v>576</v>
      </c>
      <c r="V4" s="391">
        <v>0</v>
      </c>
      <c r="W4" s="166"/>
      <c r="X4" s="236">
        <f>IF('VII. Impresión'!$CT$13=0,0,+'VII. Impresión'!CT4/'VII. Impresión'!$CT$13)</f>
        <v>0</v>
      </c>
      <c r="Y4" s="200"/>
      <c r="Z4" s="200"/>
      <c r="AA4" s="200"/>
      <c r="AB4" s="199" t="s">
        <v>576</v>
      </c>
      <c r="AC4" s="391">
        <v>0</v>
      </c>
      <c r="AD4" s="166"/>
      <c r="AE4" s="166"/>
      <c r="AG4" s="199" t="s">
        <v>576</v>
      </c>
      <c r="AH4" s="391">
        <v>0</v>
      </c>
      <c r="AI4" s="166"/>
      <c r="AJ4" s="166"/>
      <c r="AL4" s="199" t="s">
        <v>576</v>
      </c>
      <c r="AM4" s="391">
        <v>0</v>
      </c>
      <c r="AN4" s="166"/>
      <c r="AO4" s="166"/>
      <c r="AQ4" s="199" t="s">
        <v>576</v>
      </c>
      <c r="AR4" s="391">
        <v>0</v>
      </c>
      <c r="AS4" s="166"/>
      <c r="AT4" s="720">
        <f>IF('VII. Impresión'!$CT$13=0,0,+'VII. Impresión'!DP4/'VII. Impresión'!$CT$13)</f>
        <v>0</v>
      </c>
      <c r="AU4" s="200"/>
      <c r="AV4" s="200"/>
      <c r="AW4" s="200"/>
    </row>
    <row r="5" spans="1:49" ht="12.75">
      <c r="A5" s="197" t="s">
        <v>577</v>
      </c>
      <c r="B5" s="391">
        <v>0</v>
      </c>
      <c r="C5" s="201"/>
      <c r="D5" s="166"/>
      <c r="F5" s="199" t="s">
        <v>577</v>
      </c>
      <c r="G5" s="391">
        <v>0</v>
      </c>
      <c r="H5" s="166"/>
      <c r="I5" s="166"/>
      <c r="K5" s="91" t="s">
        <v>577</v>
      </c>
      <c r="L5" s="391">
        <v>0</v>
      </c>
      <c r="M5" s="166"/>
      <c r="N5" s="166"/>
      <c r="P5" s="91" t="s">
        <v>577</v>
      </c>
      <c r="Q5" s="391">
        <v>0</v>
      </c>
      <c r="R5" s="166"/>
      <c r="S5" s="166"/>
      <c r="U5" s="199" t="str">
        <f>+P5</f>
        <v>TIEMPO DE OCUPACION (meses)</v>
      </c>
      <c r="V5" s="392">
        <v>0</v>
      </c>
      <c r="W5" s="166"/>
      <c r="X5" s="236">
        <f>IF('VII. Impresión'!$CT$13=0,0,+'VII. Impresión'!CT5/'VII. Impresión'!$CT$13)</f>
        <v>0</v>
      </c>
      <c r="Y5" s="200"/>
      <c r="Z5" s="200"/>
      <c r="AA5" s="200"/>
      <c r="AB5" s="199" t="s">
        <v>577</v>
      </c>
      <c r="AC5" s="391">
        <v>0</v>
      </c>
      <c r="AD5" s="166"/>
      <c r="AE5" s="166"/>
      <c r="AG5" s="91" t="s">
        <v>577</v>
      </c>
      <c r="AH5" s="391">
        <v>0</v>
      </c>
      <c r="AI5" s="166"/>
      <c r="AJ5" s="166"/>
      <c r="AL5" s="91" t="s">
        <v>577</v>
      </c>
      <c r="AM5" s="391">
        <v>0</v>
      </c>
      <c r="AN5" s="166"/>
      <c r="AO5" s="166"/>
      <c r="AQ5" s="199" t="str">
        <f>+AL5</f>
        <v>TIEMPO DE OCUPACION (meses)</v>
      </c>
      <c r="AR5" s="392">
        <v>0</v>
      </c>
      <c r="AS5" s="166"/>
      <c r="AT5" s="720">
        <f>IF('VII. Impresión'!$CT$13=0,0,+'VII. Impresión'!DP5/'VII. Impresión'!$CT$13)</f>
        <v>0</v>
      </c>
      <c r="AU5" s="200"/>
      <c r="AV5" s="200"/>
      <c r="AW5" s="200"/>
    </row>
    <row r="6" spans="1:49" ht="12.75">
      <c r="A6" s="199" t="s">
        <v>578</v>
      </c>
      <c r="B6" s="392">
        <v>0</v>
      </c>
      <c r="C6" s="166"/>
      <c r="D6" s="166"/>
      <c r="F6" s="199" t="s">
        <v>578</v>
      </c>
      <c r="G6" s="392">
        <v>0</v>
      </c>
      <c r="H6" s="166"/>
      <c r="I6" s="166"/>
      <c r="K6" s="199" t="s">
        <v>578</v>
      </c>
      <c r="L6" s="392">
        <v>0</v>
      </c>
      <c r="M6" s="166"/>
      <c r="N6" s="166"/>
      <c r="P6" s="199" t="s">
        <v>578</v>
      </c>
      <c r="Q6" s="392">
        <v>0</v>
      </c>
      <c r="R6" s="166"/>
      <c r="S6" s="166"/>
      <c r="U6" s="199" t="str">
        <f>+P6</f>
        <v>ANTECESOR:</v>
      </c>
      <c r="V6" s="392">
        <v>0</v>
      </c>
      <c r="W6" s="166"/>
      <c r="X6" s="236">
        <f>IF('VII. Impresión'!$CT$13=0,0,+'VII. Impresión'!CT6/'VII. Impresión'!$CT$13)</f>
        <v>0</v>
      </c>
      <c r="Y6" s="200"/>
      <c r="Z6" s="200"/>
      <c r="AA6" s="200"/>
      <c r="AB6" s="199" t="s">
        <v>578</v>
      </c>
      <c r="AC6" s="392">
        <v>0</v>
      </c>
      <c r="AD6" s="166"/>
      <c r="AE6" s="166"/>
      <c r="AG6" s="199" t="s">
        <v>578</v>
      </c>
      <c r="AH6" s="392">
        <v>0</v>
      </c>
      <c r="AI6" s="166"/>
      <c r="AJ6" s="166"/>
      <c r="AL6" s="199" t="s">
        <v>578</v>
      </c>
      <c r="AM6" s="392">
        <v>0</v>
      </c>
      <c r="AN6" s="166"/>
      <c r="AO6" s="166"/>
      <c r="AQ6" s="199" t="str">
        <f>+AL6</f>
        <v>ANTECESOR:</v>
      </c>
      <c r="AR6" s="392">
        <v>0</v>
      </c>
      <c r="AS6" s="166"/>
      <c r="AT6" s="720">
        <f>IF('VII. Impresión'!$CT$13=0,0,+'VII. Impresión'!DP6/'VII. Impresión'!$CT$13)</f>
        <v>0</v>
      </c>
      <c r="AU6" s="200"/>
      <c r="AV6" s="200"/>
      <c r="AW6" s="200"/>
    </row>
    <row r="7" spans="3:49" ht="12.75">
      <c r="C7" s="166"/>
      <c r="D7" s="166"/>
      <c r="F7" s="197"/>
      <c r="G7" s="197"/>
      <c r="H7" s="166"/>
      <c r="I7" s="166"/>
      <c r="K7" s="197"/>
      <c r="L7" s="197"/>
      <c r="M7" s="166"/>
      <c r="N7" s="166"/>
      <c r="P7" s="197"/>
      <c r="Q7" s="197"/>
      <c r="R7" s="166"/>
      <c r="S7" s="166"/>
      <c r="U7" s="197"/>
      <c r="V7" s="197"/>
      <c r="W7" s="166"/>
      <c r="X7" s="236">
        <f>IF('VII. Impresión'!$CT$13=0,0,+'VII. Impresión'!CT7/'VII. Impresión'!$CT$13)</f>
        <v>0</v>
      </c>
      <c r="Y7" s="200"/>
      <c r="Z7" s="200"/>
      <c r="AA7" s="200"/>
      <c r="AB7" s="197"/>
      <c r="AC7" s="197"/>
      <c r="AD7" s="166"/>
      <c r="AE7" s="166"/>
      <c r="AG7" s="197"/>
      <c r="AH7" s="197"/>
      <c r="AI7" s="166"/>
      <c r="AJ7" s="166"/>
      <c r="AL7" s="197"/>
      <c r="AM7" s="197"/>
      <c r="AN7" s="166"/>
      <c r="AO7" s="166"/>
      <c r="AQ7" s="197"/>
      <c r="AR7" s="197"/>
      <c r="AS7" s="166"/>
      <c r="AT7" s="720">
        <f>IF('VII. Impresión'!$CT$13=0,0,+'VII. Impresión'!DP7/'VII. Impresión'!$CT$13)</f>
        <v>0</v>
      </c>
      <c r="AU7" s="200"/>
      <c r="AV7" s="200"/>
      <c r="AW7" s="200"/>
    </row>
    <row r="8" spans="1:49" ht="12.75">
      <c r="A8" s="373" t="s">
        <v>579</v>
      </c>
      <c r="B8" s="202"/>
      <c r="C8" s="202"/>
      <c r="D8" s="202"/>
      <c r="F8" s="373" t="str">
        <f>+A8</f>
        <v>1- GASTOS FIJOS</v>
      </c>
      <c r="G8" s="202"/>
      <c r="H8" s="202"/>
      <c r="I8" s="202"/>
      <c r="K8" s="373" t="str">
        <f>+F8</f>
        <v>1- GASTOS FIJOS</v>
      </c>
      <c r="L8" s="202"/>
      <c r="M8" s="202"/>
      <c r="N8" s="202"/>
      <c r="P8" s="373" t="str">
        <f>+K8</f>
        <v>1- GASTOS FIJOS</v>
      </c>
      <c r="Q8" s="202"/>
      <c r="R8" s="202"/>
      <c r="S8" s="202"/>
      <c r="U8" s="373" t="str">
        <f>+K8</f>
        <v>1- GASTOS FIJOS</v>
      </c>
      <c r="V8" s="202"/>
      <c r="W8" s="202"/>
      <c r="X8" s="236">
        <f>IF('VII. Impresión'!$CT$13=0,0,+'VII. Impresión'!CT8/'VII. Impresión'!$CT$13)</f>
        <v>0</v>
      </c>
      <c r="Y8" s="200"/>
      <c r="Z8" s="200"/>
      <c r="AA8" s="200"/>
      <c r="AB8" s="373" t="s">
        <v>579</v>
      </c>
      <c r="AC8" s="202"/>
      <c r="AD8" s="202"/>
      <c r="AE8" s="202"/>
      <c r="AG8" s="373" t="str">
        <f>+AB8</f>
        <v>1- GASTOS FIJOS</v>
      </c>
      <c r="AH8" s="202"/>
      <c r="AI8" s="202"/>
      <c r="AJ8" s="202"/>
      <c r="AL8" s="373" t="str">
        <f>+AG8</f>
        <v>1- GASTOS FIJOS</v>
      </c>
      <c r="AM8" s="202"/>
      <c r="AN8" s="202"/>
      <c r="AO8" s="202"/>
      <c r="AQ8" s="373" t="str">
        <f>+AG8</f>
        <v>1- GASTOS FIJOS</v>
      </c>
      <c r="AR8" s="202"/>
      <c r="AS8" s="202"/>
      <c r="AT8" s="720">
        <f>IF('VII. Impresión'!$CT$13=0,0,+'VII. Impresión'!DP8/'VII. Impresión'!$CT$13)</f>
        <v>0</v>
      </c>
      <c r="AU8" s="200"/>
      <c r="AV8" s="200"/>
      <c r="AW8" s="200"/>
    </row>
    <row r="9" spans="1:49" ht="12.75">
      <c r="A9" s="98"/>
      <c r="B9" s="203"/>
      <c r="C9" s="204" t="s">
        <v>580</v>
      </c>
      <c r="D9" s="202"/>
      <c r="F9" s="98"/>
      <c r="G9" s="202"/>
      <c r="H9" s="204" t="s">
        <v>580</v>
      </c>
      <c r="I9" s="202"/>
      <c r="K9" s="98"/>
      <c r="L9" s="202"/>
      <c r="M9" s="204" t="s">
        <v>580</v>
      </c>
      <c r="N9" s="202"/>
      <c r="P9" s="98"/>
      <c r="Q9" s="202"/>
      <c r="R9" s="204" t="s">
        <v>580</v>
      </c>
      <c r="S9" s="202"/>
      <c r="U9" s="98"/>
      <c r="V9" s="202"/>
      <c r="W9" s="204" t="s">
        <v>580</v>
      </c>
      <c r="X9" s="202"/>
      <c r="Y9" s="202"/>
      <c r="Z9" s="202"/>
      <c r="AA9" s="202"/>
      <c r="AB9" s="98"/>
      <c r="AC9" s="202"/>
      <c r="AD9" s="204" t="s">
        <v>580</v>
      </c>
      <c r="AE9" s="202"/>
      <c r="AG9" s="98"/>
      <c r="AH9" s="202"/>
      <c r="AI9" s="204" t="s">
        <v>580</v>
      </c>
      <c r="AJ9" s="202"/>
      <c r="AL9" s="98"/>
      <c r="AM9" s="202"/>
      <c r="AN9" s="204" t="s">
        <v>580</v>
      </c>
      <c r="AO9" s="202"/>
      <c r="AQ9" s="98"/>
      <c r="AR9" s="202"/>
      <c r="AS9" s="204" t="s">
        <v>580</v>
      </c>
      <c r="AT9" s="202"/>
      <c r="AU9" s="202"/>
      <c r="AV9" s="202"/>
      <c r="AW9" s="202"/>
    </row>
    <row r="10" spans="1:49" ht="12.75">
      <c r="A10" s="204" t="s">
        <v>581</v>
      </c>
      <c r="B10" s="393">
        <v>0</v>
      </c>
      <c r="C10" s="205" t="s">
        <v>582</v>
      </c>
      <c r="D10" s="394">
        <v>0</v>
      </c>
      <c r="F10" s="204" t="s">
        <v>581</v>
      </c>
      <c r="G10" s="393">
        <v>0</v>
      </c>
      <c r="H10" s="205" t="s">
        <v>582</v>
      </c>
      <c r="I10" s="394">
        <v>0</v>
      </c>
      <c r="K10" s="204" t="s">
        <v>581</v>
      </c>
      <c r="L10" s="393">
        <v>0</v>
      </c>
      <c r="M10" s="205" t="s">
        <v>582</v>
      </c>
      <c r="N10" s="394">
        <v>0</v>
      </c>
      <c r="P10" s="204" t="s">
        <v>581</v>
      </c>
      <c r="Q10" s="393">
        <v>0</v>
      </c>
      <c r="R10" s="205" t="s">
        <v>582</v>
      </c>
      <c r="S10" s="394">
        <v>0</v>
      </c>
      <c r="U10" s="204" t="s">
        <v>581</v>
      </c>
      <c r="V10" s="393">
        <v>0</v>
      </c>
      <c r="W10" s="205" t="s">
        <v>582</v>
      </c>
      <c r="X10" s="411">
        <v>0</v>
      </c>
      <c r="Y10" s="206"/>
      <c r="Z10" s="207"/>
      <c r="AA10" s="207"/>
      <c r="AB10" s="204" t="s">
        <v>581</v>
      </c>
      <c r="AC10" s="393">
        <v>0</v>
      </c>
      <c r="AD10" s="205" t="s">
        <v>582</v>
      </c>
      <c r="AE10" s="394">
        <v>0</v>
      </c>
      <c r="AG10" s="204" t="s">
        <v>581</v>
      </c>
      <c r="AH10" s="393">
        <v>0</v>
      </c>
      <c r="AI10" s="205" t="s">
        <v>582</v>
      </c>
      <c r="AJ10" s="394">
        <v>0</v>
      </c>
      <c r="AL10" s="204" t="s">
        <v>581</v>
      </c>
      <c r="AM10" s="393">
        <v>0</v>
      </c>
      <c r="AN10" s="205" t="s">
        <v>582</v>
      </c>
      <c r="AO10" s="394">
        <v>0</v>
      </c>
      <c r="AQ10" s="204" t="s">
        <v>581</v>
      </c>
      <c r="AR10" s="393">
        <v>0</v>
      </c>
      <c r="AS10" s="205" t="s">
        <v>582</v>
      </c>
      <c r="AT10" s="411">
        <v>0</v>
      </c>
      <c r="AU10" s="206"/>
      <c r="AV10" s="207"/>
      <c r="AW10" s="207"/>
    </row>
    <row r="11" spans="1:49" ht="12.75">
      <c r="A11" s="202"/>
      <c r="B11" s="202"/>
      <c r="C11" s="205" t="s">
        <v>583</v>
      </c>
      <c r="D11" s="394">
        <v>0</v>
      </c>
      <c r="F11" s="202"/>
      <c r="G11" s="202"/>
      <c r="H11" s="205" t="s">
        <v>583</v>
      </c>
      <c r="I11" s="394">
        <v>0</v>
      </c>
      <c r="K11" s="202"/>
      <c r="L11" s="202"/>
      <c r="M11" s="205" t="s">
        <v>583</v>
      </c>
      <c r="N11" s="394">
        <v>0</v>
      </c>
      <c r="P11" s="202"/>
      <c r="Q11" s="202"/>
      <c r="R11" s="205" t="s">
        <v>583</v>
      </c>
      <c r="S11" s="394">
        <v>0</v>
      </c>
      <c r="U11" s="202"/>
      <c r="V11" s="202"/>
      <c r="W11" s="205" t="s">
        <v>583</v>
      </c>
      <c r="X11" s="394">
        <v>0</v>
      </c>
      <c r="Y11" s="207"/>
      <c r="Z11" s="207"/>
      <c r="AA11" s="207"/>
      <c r="AB11" s="202"/>
      <c r="AC11" s="202"/>
      <c r="AD11" s="205" t="s">
        <v>583</v>
      </c>
      <c r="AE11" s="394">
        <v>0</v>
      </c>
      <c r="AG11" s="202"/>
      <c r="AH11" s="202"/>
      <c r="AI11" s="205" t="s">
        <v>583</v>
      </c>
      <c r="AJ11" s="394">
        <v>0</v>
      </c>
      <c r="AL11" s="202"/>
      <c r="AM11" s="202"/>
      <c r="AN11" s="205" t="s">
        <v>583</v>
      </c>
      <c r="AO11" s="394">
        <v>0</v>
      </c>
      <c r="AQ11" s="202"/>
      <c r="AR11" s="202"/>
      <c r="AS11" s="205" t="s">
        <v>583</v>
      </c>
      <c r="AT11" s="394">
        <v>0</v>
      </c>
      <c r="AU11" s="207"/>
      <c r="AV11" s="207"/>
      <c r="AW11" s="207"/>
    </row>
    <row r="12" spans="1:49" ht="12.75">
      <c r="A12" s="372" t="s">
        <v>584</v>
      </c>
      <c r="B12" s="373" t="s">
        <v>585</v>
      </c>
      <c r="C12" s="373" t="s">
        <v>586</v>
      </c>
      <c r="D12" s="374" t="s">
        <v>587</v>
      </c>
      <c r="F12" s="372" t="s">
        <v>584</v>
      </c>
      <c r="G12" s="199" t="str">
        <f>+B12</f>
        <v>COEF. UTA</v>
      </c>
      <c r="H12" s="199" t="s">
        <v>586</v>
      </c>
      <c r="I12" s="208" t="s">
        <v>587</v>
      </c>
      <c r="K12" s="372" t="s">
        <v>584</v>
      </c>
      <c r="L12" s="373" t="str">
        <f>+B12</f>
        <v>COEF. UTA</v>
      </c>
      <c r="M12" s="373" t="s">
        <v>586</v>
      </c>
      <c r="N12" s="374" t="s">
        <v>587</v>
      </c>
      <c r="P12" s="372" t="s">
        <v>584</v>
      </c>
      <c r="Q12" s="373" t="str">
        <f>+B12</f>
        <v>COEF. UTA</v>
      </c>
      <c r="R12" s="373" t="s">
        <v>586</v>
      </c>
      <c r="S12" s="374" t="s">
        <v>587</v>
      </c>
      <c r="U12" s="372" t="s">
        <v>584</v>
      </c>
      <c r="V12" s="373" t="str">
        <f>+B12</f>
        <v>COEF. UTA</v>
      </c>
      <c r="W12" s="373" t="s">
        <v>586</v>
      </c>
      <c r="X12" s="374" t="s">
        <v>587</v>
      </c>
      <c r="Y12" s="117"/>
      <c r="Z12" s="117"/>
      <c r="AA12" s="117"/>
      <c r="AB12" s="372" t="s">
        <v>584</v>
      </c>
      <c r="AC12" s="199" t="str">
        <f>+X12</f>
        <v>SUBTOTAL</v>
      </c>
      <c r="AD12" s="199" t="s">
        <v>586</v>
      </c>
      <c r="AE12" s="208" t="s">
        <v>587</v>
      </c>
      <c r="AG12" s="372" t="s">
        <v>584</v>
      </c>
      <c r="AH12" s="373" t="str">
        <f>+X12</f>
        <v>SUBTOTAL</v>
      </c>
      <c r="AI12" s="373" t="s">
        <v>586</v>
      </c>
      <c r="AJ12" s="374" t="s">
        <v>587</v>
      </c>
      <c r="AL12" s="372" t="s">
        <v>584</v>
      </c>
      <c r="AM12" s="373" t="str">
        <f>+X12</f>
        <v>SUBTOTAL</v>
      </c>
      <c r="AN12" s="373" t="s">
        <v>586</v>
      </c>
      <c r="AO12" s="374" t="s">
        <v>587</v>
      </c>
      <c r="AQ12" s="372" t="s">
        <v>584</v>
      </c>
      <c r="AR12" s="373" t="str">
        <f>+X12</f>
        <v>SUBTOTAL</v>
      </c>
      <c r="AS12" s="373" t="s">
        <v>586</v>
      </c>
      <c r="AT12" s="374" t="s">
        <v>587</v>
      </c>
      <c r="AU12" s="117"/>
      <c r="AV12" s="117"/>
      <c r="AW12" s="117"/>
    </row>
    <row r="13" spans="1:49" ht="12.75">
      <c r="A13" s="395" t="s">
        <v>588</v>
      </c>
      <c r="B13" s="396">
        <v>1</v>
      </c>
      <c r="C13" s="397">
        <v>0</v>
      </c>
      <c r="D13" s="289">
        <f aca="true" t="shared" si="0" ref="D13:D24">B13*C13</f>
        <v>0</v>
      </c>
      <c r="F13" s="395" t="s">
        <v>588</v>
      </c>
      <c r="G13" s="396">
        <v>1</v>
      </c>
      <c r="H13" s="397">
        <v>0</v>
      </c>
      <c r="I13" s="289">
        <f aca="true" t="shared" si="1" ref="I13:I24">G13*H13</f>
        <v>0</v>
      </c>
      <c r="K13" s="395" t="s">
        <v>588</v>
      </c>
      <c r="L13" s="396">
        <v>1</v>
      </c>
      <c r="M13" s="397">
        <v>0</v>
      </c>
      <c r="N13" s="289">
        <f aca="true" t="shared" si="2" ref="N13:N24">L13*M13</f>
        <v>0</v>
      </c>
      <c r="P13" s="395" t="s">
        <v>589</v>
      </c>
      <c r="Q13" s="396">
        <v>0.8</v>
      </c>
      <c r="R13" s="397">
        <v>0</v>
      </c>
      <c r="S13" s="289">
        <f aca="true" t="shared" si="3" ref="S13:S24">Q13*R13</f>
        <v>0</v>
      </c>
      <c r="U13" s="395" t="s">
        <v>588</v>
      </c>
      <c r="V13" s="396">
        <v>1</v>
      </c>
      <c r="W13" s="397">
        <v>0</v>
      </c>
      <c r="X13" s="289">
        <f aca="true" t="shared" si="4" ref="X13:X24">V13*W13</f>
        <v>0</v>
      </c>
      <c r="Y13" s="209"/>
      <c r="Z13" s="209"/>
      <c r="AA13" s="209"/>
      <c r="AB13" s="395" t="s">
        <v>588</v>
      </c>
      <c r="AC13" s="396">
        <v>1</v>
      </c>
      <c r="AD13" s="397">
        <v>0</v>
      </c>
      <c r="AE13" s="289">
        <f aca="true" t="shared" si="5" ref="AE13:AE24">AC13*AD13</f>
        <v>0</v>
      </c>
      <c r="AG13" s="395" t="s">
        <v>590</v>
      </c>
      <c r="AH13" s="396">
        <v>0.2</v>
      </c>
      <c r="AI13" s="397">
        <v>0</v>
      </c>
      <c r="AJ13" s="289">
        <f aca="true" t="shared" si="6" ref="AJ13:AJ24">AH13*AI13</f>
        <v>0</v>
      </c>
      <c r="AL13" s="395" t="s">
        <v>588</v>
      </c>
      <c r="AM13" s="396">
        <v>1</v>
      </c>
      <c r="AN13" s="397">
        <v>0</v>
      </c>
      <c r="AO13" s="289">
        <f aca="true" t="shared" si="7" ref="AO13:AO24">AM13*AN13</f>
        <v>0</v>
      </c>
      <c r="AQ13" s="395" t="s">
        <v>588</v>
      </c>
      <c r="AR13" s="396">
        <v>1</v>
      </c>
      <c r="AS13" s="397">
        <v>0</v>
      </c>
      <c r="AT13" s="289">
        <f aca="true" t="shared" si="8" ref="AT13:AT24">AR13*AS13</f>
        <v>0</v>
      </c>
      <c r="AU13" s="209"/>
      <c r="AV13" s="209"/>
      <c r="AW13" s="209"/>
    </row>
    <row r="14" spans="1:49" ht="12.75">
      <c r="A14" s="398" t="s">
        <v>591</v>
      </c>
      <c r="B14" s="399">
        <v>0.8</v>
      </c>
      <c r="C14" s="400">
        <v>0</v>
      </c>
      <c r="D14" s="489">
        <f t="shared" si="0"/>
        <v>0</v>
      </c>
      <c r="F14" s="398" t="s">
        <v>591</v>
      </c>
      <c r="G14" s="399">
        <v>0.8</v>
      </c>
      <c r="H14" s="400">
        <v>0</v>
      </c>
      <c r="I14" s="489">
        <f t="shared" si="1"/>
        <v>0</v>
      </c>
      <c r="K14" s="398" t="s">
        <v>591</v>
      </c>
      <c r="L14" s="399">
        <v>0.8</v>
      </c>
      <c r="M14" s="400">
        <v>0</v>
      </c>
      <c r="N14" s="489">
        <f t="shared" si="2"/>
        <v>0</v>
      </c>
      <c r="P14" s="398" t="s">
        <v>591</v>
      </c>
      <c r="Q14" s="399">
        <v>0.8</v>
      </c>
      <c r="R14" s="400">
        <v>0</v>
      </c>
      <c r="S14" s="489">
        <f t="shared" si="3"/>
        <v>0</v>
      </c>
      <c r="U14" s="398" t="s">
        <v>591</v>
      </c>
      <c r="V14" s="399">
        <v>0.8</v>
      </c>
      <c r="W14" s="400">
        <v>0</v>
      </c>
      <c r="X14" s="489">
        <f t="shared" si="4"/>
        <v>0</v>
      </c>
      <c r="Y14" s="209"/>
      <c r="Z14" s="209"/>
      <c r="AA14" s="209"/>
      <c r="AB14" s="398" t="s">
        <v>591</v>
      </c>
      <c r="AC14" s="399">
        <v>0.8</v>
      </c>
      <c r="AD14" s="400">
        <v>0</v>
      </c>
      <c r="AE14" s="489">
        <f t="shared" si="5"/>
        <v>0</v>
      </c>
      <c r="AG14" s="398" t="s">
        <v>591</v>
      </c>
      <c r="AH14" s="399">
        <v>0.8</v>
      </c>
      <c r="AI14" s="400">
        <v>0</v>
      </c>
      <c r="AJ14" s="489">
        <f t="shared" si="6"/>
        <v>0</v>
      </c>
      <c r="AL14" s="398" t="s">
        <v>591</v>
      </c>
      <c r="AM14" s="399">
        <v>0.8</v>
      </c>
      <c r="AN14" s="400">
        <v>0</v>
      </c>
      <c r="AO14" s="489">
        <f t="shared" si="7"/>
        <v>0</v>
      </c>
      <c r="AQ14" s="398" t="s">
        <v>591</v>
      </c>
      <c r="AR14" s="399">
        <v>0.8</v>
      </c>
      <c r="AS14" s="400">
        <v>0</v>
      </c>
      <c r="AT14" s="489">
        <f t="shared" si="8"/>
        <v>0</v>
      </c>
      <c r="AU14" s="209"/>
      <c r="AV14" s="209"/>
      <c r="AW14" s="209"/>
    </row>
    <row r="15" spans="1:49" ht="12.75">
      <c r="A15" s="398" t="s">
        <v>592</v>
      </c>
      <c r="B15" s="399">
        <v>0.5</v>
      </c>
      <c r="C15" s="400">
        <v>0</v>
      </c>
      <c r="D15" s="489">
        <f t="shared" si="0"/>
        <v>0</v>
      </c>
      <c r="F15" s="398" t="s">
        <v>593</v>
      </c>
      <c r="G15" s="399">
        <v>0.5</v>
      </c>
      <c r="H15" s="400">
        <v>0</v>
      </c>
      <c r="I15" s="489">
        <f t="shared" si="1"/>
        <v>0</v>
      </c>
      <c r="K15" s="398" t="s">
        <v>594</v>
      </c>
      <c r="L15" s="399">
        <v>1</v>
      </c>
      <c r="M15" s="400">
        <v>0</v>
      </c>
      <c r="N15" s="489">
        <f t="shared" si="2"/>
        <v>0</v>
      </c>
      <c r="P15" s="398" t="s">
        <v>594</v>
      </c>
      <c r="Q15" s="399">
        <v>1</v>
      </c>
      <c r="R15" s="400">
        <v>0</v>
      </c>
      <c r="S15" s="489">
        <f t="shared" si="3"/>
        <v>0</v>
      </c>
      <c r="U15" s="398" t="s">
        <v>594</v>
      </c>
      <c r="V15" s="399">
        <v>1</v>
      </c>
      <c r="W15" s="400">
        <v>0</v>
      </c>
      <c r="X15" s="489">
        <f t="shared" si="4"/>
        <v>0</v>
      </c>
      <c r="Y15" s="209"/>
      <c r="Z15" s="209"/>
      <c r="AA15" s="209"/>
      <c r="AB15" s="398" t="s">
        <v>593</v>
      </c>
      <c r="AC15" s="399">
        <v>0.5</v>
      </c>
      <c r="AD15" s="400">
        <v>0</v>
      </c>
      <c r="AE15" s="489">
        <f t="shared" si="5"/>
        <v>0</v>
      </c>
      <c r="AG15" s="398" t="s">
        <v>594</v>
      </c>
      <c r="AH15" s="399">
        <v>1</v>
      </c>
      <c r="AI15" s="400">
        <v>0</v>
      </c>
      <c r="AJ15" s="489">
        <f t="shared" si="6"/>
        <v>0</v>
      </c>
      <c r="AL15" s="398" t="s">
        <v>594</v>
      </c>
      <c r="AM15" s="399">
        <v>1</v>
      </c>
      <c r="AN15" s="400">
        <v>0</v>
      </c>
      <c r="AO15" s="489">
        <f t="shared" si="7"/>
        <v>0</v>
      </c>
      <c r="AQ15" s="398" t="s">
        <v>594</v>
      </c>
      <c r="AR15" s="399">
        <v>1</v>
      </c>
      <c r="AS15" s="400">
        <v>0</v>
      </c>
      <c r="AT15" s="489">
        <f t="shared" si="8"/>
        <v>0</v>
      </c>
      <c r="AU15" s="209"/>
      <c r="AV15" s="209"/>
      <c r="AW15" s="209"/>
    </row>
    <row r="16" spans="1:49" ht="12.75">
      <c r="A16" s="398" t="s">
        <v>589</v>
      </c>
      <c r="B16" s="399">
        <v>0.8</v>
      </c>
      <c r="C16" s="400">
        <v>0</v>
      </c>
      <c r="D16" s="489">
        <f t="shared" si="0"/>
        <v>0</v>
      </c>
      <c r="F16" s="398" t="s">
        <v>595</v>
      </c>
      <c r="G16" s="399">
        <v>0.8</v>
      </c>
      <c r="H16" s="400">
        <v>0</v>
      </c>
      <c r="I16" s="489">
        <f t="shared" si="1"/>
        <v>0</v>
      </c>
      <c r="K16" s="398" t="s">
        <v>595</v>
      </c>
      <c r="L16" s="399">
        <v>0.8</v>
      </c>
      <c r="M16" s="400">
        <v>0</v>
      </c>
      <c r="N16" s="489">
        <f t="shared" si="2"/>
        <v>0</v>
      </c>
      <c r="P16" s="398" t="s">
        <v>595</v>
      </c>
      <c r="Q16" s="399">
        <v>0.8</v>
      </c>
      <c r="R16" s="400">
        <v>0</v>
      </c>
      <c r="S16" s="489">
        <f t="shared" si="3"/>
        <v>0</v>
      </c>
      <c r="U16" s="398" t="s">
        <v>595</v>
      </c>
      <c r="V16" s="399">
        <v>0.8</v>
      </c>
      <c r="W16" s="400">
        <v>0</v>
      </c>
      <c r="X16" s="489">
        <f t="shared" si="4"/>
        <v>0</v>
      </c>
      <c r="Y16" s="209"/>
      <c r="Z16" s="209"/>
      <c r="AA16" s="209"/>
      <c r="AB16" s="398" t="s">
        <v>595</v>
      </c>
      <c r="AC16" s="399">
        <v>0.8</v>
      </c>
      <c r="AD16" s="400">
        <v>0</v>
      </c>
      <c r="AE16" s="489">
        <f t="shared" si="5"/>
        <v>0</v>
      </c>
      <c r="AG16" s="398" t="s">
        <v>595</v>
      </c>
      <c r="AH16" s="399">
        <v>0.8</v>
      </c>
      <c r="AI16" s="400">
        <v>0</v>
      </c>
      <c r="AJ16" s="489">
        <f t="shared" si="6"/>
        <v>0</v>
      </c>
      <c r="AL16" s="398" t="s">
        <v>595</v>
      </c>
      <c r="AM16" s="399">
        <v>0.8</v>
      </c>
      <c r="AN16" s="400">
        <v>0</v>
      </c>
      <c r="AO16" s="489">
        <f t="shared" si="7"/>
        <v>0</v>
      </c>
      <c r="AQ16" s="398" t="s">
        <v>595</v>
      </c>
      <c r="AR16" s="399">
        <v>0.8</v>
      </c>
      <c r="AS16" s="400">
        <v>0</v>
      </c>
      <c r="AT16" s="489">
        <f t="shared" si="8"/>
        <v>0</v>
      </c>
      <c r="AU16" s="209"/>
      <c r="AV16" s="209"/>
      <c r="AW16" s="209"/>
    </row>
    <row r="17" spans="1:49" ht="12.75">
      <c r="A17" s="398" t="s">
        <v>596</v>
      </c>
      <c r="B17" s="399">
        <v>0.2</v>
      </c>
      <c r="C17" s="400">
        <v>0</v>
      </c>
      <c r="D17" s="489">
        <f t="shared" si="0"/>
        <v>0</v>
      </c>
      <c r="F17" s="398" t="s">
        <v>596</v>
      </c>
      <c r="G17" s="399">
        <v>0.2</v>
      </c>
      <c r="H17" s="400">
        <v>0</v>
      </c>
      <c r="I17" s="489">
        <f t="shared" si="1"/>
        <v>0</v>
      </c>
      <c r="K17" s="398" t="s">
        <v>596</v>
      </c>
      <c r="L17" s="399">
        <v>0.2</v>
      </c>
      <c r="M17" s="400">
        <v>0</v>
      </c>
      <c r="N17" s="489">
        <f t="shared" si="2"/>
        <v>0</v>
      </c>
      <c r="P17" s="398" t="s">
        <v>596</v>
      </c>
      <c r="Q17" s="399">
        <v>0.2</v>
      </c>
      <c r="R17" s="400">
        <v>0</v>
      </c>
      <c r="S17" s="489">
        <f t="shared" si="3"/>
        <v>0</v>
      </c>
      <c r="U17" s="398" t="s">
        <v>596</v>
      </c>
      <c r="V17" s="399">
        <v>0.2</v>
      </c>
      <c r="W17" s="400">
        <v>0</v>
      </c>
      <c r="X17" s="489">
        <f t="shared" si="4"/>
        <v>0</v>
      </c>
      <c r="Y17" s="209"/>
      <c r="Z17" s="209"/>
      <c r="AA17" s="209"/>
      <c r="AB17" s="398" t="s">
        <v>596</v>
      </c>
      <c r="AC17" s="399">
        <v>0.2</v>
      </c>
      <c r="AD17" s="400">
        <v>0</v>
      </c>
      <c r="AE17" s="489">
        <f t="shared" si="5"/>
        <v>0</v>
      </c>
      <c r="AG17" s="398" t="s">
        <v>596</v>
      </c>
      <c r="AH17" s="399">
        <v>0.2</v>
      </c>
      <c r="AI17" s="400">
        <v>0</v>
      </c>
      <c r="AJ17" s="489">
        <f t="shared" si="6"/>
        <v>0</v>
      </c>
      <c r="AL17" s="398" t="s">
        <v>596</v>
      </c>
      <c r="AM17" s="399">
        <v>0.2</v>
      </c>
      <c r="AN17" s="400">
        <v>0</v>
      </c>
      <c r="AO17" s="489">
        <f t="shared" si="7"/>
        <v>0</v>
      </c>
      <c r="AQ17" s="398" t="s">
        <v>596</v>
      </c>
      <c r="AR17" s="399">
        <v>0.2</v>
      </c>
      <c r="AS17" s="400">
        <v>0</v>
      </c>
      <c r="AT17" s="489">
        <f t="shared" si="8"/>
        <v>0</v>
      </c>
      <c r="AU17" s="209"/>
      <c r="AV17" s="209"/>
      <c r="AW17" s="209"/>
    </row>
    <row r="18" spans="1:49" ht="12.75">
      <c r="A18" s="398" t="s">
        <v>597</v>
      </c>
      <c r="B18" s="399">
        <v>0.6</v>
      </c>
      <c r="C18" s="400">
        <v>0</v>
      </c>
      <c r="D18" s="489">
        <f t="shared" si="0"/>
        <v>0</v>
      </c>
      <c r="F18" s="398" t="s">
        <v>597</v>
      </c>
      <c r="G18" s="399">
        <v>0.6</v>
      </c>
      <c r="H18" s="400">
        <v>0</v>
      </c>
      <c r="I18" s="489">
        <f t="shared" si="1"/>
        <v>0</v>
      </c>
      <c r="K18" s="398" t="s">
        <v>597</v>
      </c>
      <c r="L18" s="399">
        <v>0.6</v>
      </c>
      <c r="M18" s="400">
        <v>0</v>
      </c>
      <c r="N18" s="489">
        <f t="shared" si="2"/>
        <v>0</v>
      </c>
      <c r="P18" s="398" t="s">
        <v>597</v>
      </c>
      <c r="Q18" s="399">
        <v>0.6</v>
      </c>
      <c r="R18" s="400">
        <v>0</v>
      </c>
      <c r="S18" s="489">
        <f t="shared" si="3"/>
        <v>0</v>
      </c>
      <c r="U18" s="398" t="s">
        <v>597</v>
      </c>
      <c r="V18" s="399">
        <v>0.6</v>
      </c>
      <c r="W18" s="400">
        <v>0</v>
      </c>
      <c r="X18" s="489">
        <f t="shared" si="4"/>
        <v>0</v>
      </c>
      <c r="Y18" s="209"/>
      <c r="Z18" s="209"/>
      <c r="AA18" s="209"/>
      <c r="AB18" s="398" t="s">
        <v>597</v>
      </c>
      <c r="AC18" s="399">
        <v>0.6</v>
      </c>
      <c r="AD18" s="400">
        <v>0</v>
      </c>
      <c r="AE18" s="489">
        <f t="shared" si="5"/>
        <v>0</v>
      </c>
      <c r="AG18" s="398" t="s">
        <v>597</v>
      </c>
      <c r="AH18" s="399">
        <v>0.6</v>
      </c>
      <c r="AI18" s="400">
        <v>0</v>
      </c>
      <c r="AJ18" s="489">
        <f t="shared" si="6"/>
        <v>0</v>
      </c>
      <c r="AL18" s="398" t="s">
        <v>597</v>
      </c>
      <c r="AM18" s="399">
        <v>0.6</v>
      </c>
      <c r="AN18" s="400">
        <v>0</v>
      </c>
      <c r="AO18" s="489">
        <f t="shared" si="7"/>
        <v>0</v>
      </c>
      <c r="AQ18" s="398" t="s">
        <v>597</v>
      </c>
      <c r="AR18" s="399">
        <v>0.6</v>
      </c>
      <c r="AS18" s="400">
        <v>0</v>
      </c>
      <c r="AT18" s="489">
        <f t="shared" si="8"/>
        <v>0</v>
      </c>
      <c r="AU18" s="209"/>
      <c r="AV18" s="209"/>
      <c r="AW18" s="209"/>
    </row>
    <row r="19" spans="1:49" ht="12.75">
      <c r="A19" s="398" t="s">
        <v>598</v>
      </c>
      <c r="B19" s="399">
        <v>1.1</v>
      </c>
      <c r="C19" s="400">
        <v>0</v>
      </c>
      <c r="D19" s="489">
        <f t="shared" si="0"/>
        <v>0</v>
      </c>
      <c r="F19" s="398" t="s">
        <v>598</v>
      </c>
      <c r="G19" s="399">
        <v>0.95</v>
      </c>
      <c r="H19" s="400">
        <v>0</v>
      </c>
      <c r="I19" s="489">
        <f t="shared" si="1"/>
        <v>0</v>
      </c>
      <c r="K19" s="398" t="s">
        <v>598</v>
      </c>
      <c r="L19" s="399">
        <v>1.1</v>
      </c>
      <c r="M19" s="400">
        <v>0</v>
      </c>
      <c r="N19" s="489">
        <f t="shared" si="2"/>
        <v>0</v>
      </c>
      <c r="P19" s="398" t="s">
        <v>598</v>
      </c>
      <c r="Q19" s="399">
        <v>0.8</v>
      </c>
      <c r="R19" s="400">
        <v>0</v>
      </c>
      <c r="S19" s="489">
        <f t="shared" si="3"/>
        <v>0</v>
      </c>
      <c r="U19" s="398" t="s">
        <v>598</v>
      </c>
      <c r="V19" s="399">
        <v>1.1</v>
      </c>
      <c r="W19" s="400">
        <v>0</v>
      </c>
      <c r="X19" s="489">
        <f t="shared" si="4"/>
        <v>0</v>
      </c>
      <c r="Y19" s="209"/>
      <c r="Z19" s="209"/>
      <c r="AA19" s="209"/>
      <c r="AB19" s="398" t="s">
        <v>598</v>
      </c>
      <c r="AC19" s="399">
        <v>1.1</v>
      </c>
      <c r="AD19" s="400">
        <v>0</v>
      </c>
      <c r="AE19" s="489">
        <f t="shared" si="5"/>
        <v>0</v>
      </c>
      <c r="AG19" s="398" t="s">
        <v>598</v>
      </c>
      <c r="AH19" s="399">
        <v>1.1</v>
      </c>
      <c r="AI19" s="400">
        <v>0</v>
      </c>
      <c r="AJ19" s="489">
        <f t="shared" si="6"/>
        <v>0</v>
      </c>
      <c r="AL19" s="398" t="s">
        <v>598</v>
      </c>
      <c r="AM19" s="399">
        <v>0.95</v>
      </c>
      <c r="AN19" s="400">
        <v>0</v>
      </c>
      <c r="AO19" s="489">
        <f t="shared" si="7"/>
        <v>0</v>
      </c>
      <c r="AQ19" s="398" t="s">
        <v>598</v>
      </c>
      <c r="AR19" s="399">
        <v>0.95</v>
      </c>
      <c r="AS19" s="400">
        <v>0</v>
      </c>
      <c r="AT19" s="489">
        <f t="shared" si="8"/>
        <v>0</v>
      </c>
      <c r="AU19" s="209"/>
      <c r="AV19" s="209"/>
      <c r="AW19" s="209"/>
    </row>
    <row r="20" spans="1:49" ht="12.75">
      <c r="A20" s="398" t="s">
        <v>599</v>
      </c>
      <c r="B20" s="399">
        <v>0.5</v>
      </c>
      <c r="C20" s="400">
        <v>0</v>
      </c>
      <c r="D20" s="489">
        <f t="shared" si="0"/>
        <v>0</v>
      </c>
      <c r="F20" s="398" t="s">
        <v>599</v>
      </c>
      <c r="G20" s="399">
        <v>0.5</v>
      </c>
      <c r="H20" s="400">
        <v>0</v>
      </c>
      <c r="I20" s="489">
        <f t="shared" si="1"/>
        <v>0</v>
      </c>
      <c r="K20" s="398" t="s">
        <v>599</v>
      </c>
      <c r="L20" s="399">
        <v>0.5</v>
      </c>
      <c r="M20" s="400">
        <v>0</v>
      </c>
      <c r="N20" s="489">
        <f t="shared" si="2"/>
        <v>0</v>
      </c>
      <c r="P20" s="398" t="s">
        <v>599</v>
      </c>
      <c r="Q20" s="399">
        <v>0.5</v>
      </c>
      <c r="R20" s="400">
        <v>0</v>
      </c>
      <c r="S20" s="489">
        <f t="shared" si="3"/>
        <v>0</v>
      </c>
      <c r="U20" s="398" t="s">
        <v>599</v>
      </c>
      <c r="V20" s="399">
        <v>0.5</v>
      </c>
      <c r="W20" s="400">
        <v>0</v>
      </c>
      <c r="X20" s="489">
        <f t="shared" si="4"/>
        <v>0</v>
      </c>
      <c r="Y20" s="209"/>
      <c r="Z20" s="209"/>
      <c r="AA20" s="209"/>
      <c r="AB20" s="398" t="s">
        <v>599</v>
      </c>
      <c r="AC20" s="399">
        <v>0.5</v>
      </c>
      <c r="AD20" s="400">
        <v>0</v>
      </c>
      <c r="AE20" s="489">
        <f t="shared" si="5"/>
        <v>0</v>
      </c>
      <c r="AG20" s="398" t="s">
        <v>599</v>
      </c>
      <c r="AH20" s="399">
        <v>0.5</v>
      </c>
      <c r="AI20" s="400">
        <v>0</v>
      </c>
      <c r="AJ20" s="489">
        <f t="shared" si="6"/>
        <v>0</v>
      </c>
      <c r="AL20" s="398" t="s">
        <v>599</v>
      </c>
      <c r="AM20" s="399">
        <v>0.5</v>
      </c>
      <c r="AN20" s="400">
        <v>0</v>
      </c>
      <c r="AO20" s="489">
        <f t="shared" si="7"/>
        <v>0</v>
      </c>
      <c r="AQ20" s="398" t="s">
        <v>599</v>
      </c>
      <c r="AR20" s="399">
        <v>0.5</v>
      </c>
      <c r="AS20" s="400">
        <v>0</v>
      </c>
      <c r="AT20" s="489">
        <f t="shared" si="8"/>
        <v>0</v>
      </c>
      <c r="AU20" s="209"/>
      <c r="AV20" s="209"/>
      <c r="AW20" s="209"/>
    </row>
    <row r="21" spans="1:49" ht="12.75">
      <c r="A21" s="398" t="s">
        <v>600</v>
      </c>
      <c r="B21" s="399">
        <v>0.2</v>
      </c>
      <c r="C21" s="400">
        <v>0</v>
      </c>
      <c r="D21" s="489">
        <f t="shared" si="0"/>
        <v>0</v>
      </c>
      <c r="F21" s="398" t="s">
        <v>600</v>
      </c>
      <c r="G21" s="399">
        <v>0.2</v>
      </c>
      <c r="H21" s="400">
        <v>0</v>
      </c>
      <c r="I21" s="489">
        <f t="shared" si="1"/>
        <v>0</v>
      </c>
      <c r="K21" s="398" t="s">
        <v>600</v>
      </c>
      <c r="L21" s="399">
        <v>0.2</v>
      </c>
      <c r="M21" s="400">
        <v>0</v>
      </c>
      <c r="N21" s="489">
        <f t="shared" si="2"/>
        <v>0</v>
      </c>
      <c r="P21" s="398" t="s">
        <v>600</v>
      </c>
      <c r="Q21" s="399">
        <v>0.3</v>
      </c>
      <c r="R21" s="400">
        <v>0</v>
      </c>
      <c r="S21" s="489">
        <f t="shared" si="3"/>
        <v>0</v>
      </c>
      <c r="U21" s="398" t="s">
        <v>600</v>
      </c>
      <c r="V21" s="399">
        <v>0.2</v>
      </c>
      <c r="W21" s="400">
        <v>0</v>
      </c>
      <c r="X21" s="489">
        <f t="shared" si="4"/>
        <v>0</v>
      </c>
      <c r="Y21" s="209"/>
      <c r="Z21" s="209"/>
      <c r="AA21" s="209"/>
      <c r="AB21" s="398" t="s">
        <v>600</v>
      </c>
      <c r="AC21" s="399">
        <v>0.2</v>
      </c>
      <c r="AD21" s="400">
        <v>0</v>
      </c>
      <c r="AE21" s="489">
        <f t="shared" si="5"/>
        <v>0</v>
      </c>
      <c r="AG21" s="398" t="s">
        <v>600</v>
      </c>
      <c r="AH21" s="399">
        <v>0.2</v>
      </c>
      <c r="AI21" s="400">
        <v>0</v>
      </c>
      <c r="AJ21" s="489">
        <f t="shared" si="6"/>
        <v>0</v>
      </c>
      <c r="AL21" s="398" t="s">
        <v>600</v>
      </c>
      <c r="AM21" s="399">
        <v>0.2</v>
      </c>
      <c r="AN21" s="400">
        <v>0</v>
      </c>
      <c r="AO21" s="489">
        <f t="shared" si="7"/>
        <v>0</v>
      </c>
      <c r="AQ21" s="398" t="s">
        <v>600</v>
      </c>
      <c r="AR21" s="399">
        <v>0.3</v>
      </c>
      <c r="AS21" s="400">
        <v>0</v>
      </c>
      <c r="AT21" s="489">
        <f t="shared" si="8"/>
        <v>0</v>
      </c>
      <c r="AU21" s="209"/>
      <c r="AV21" s="209"/>
      <c r="AW21" s="209"/>
    </row>
    <row r="22" spans="1:49" ht="12.75">
      <c r="A22" s="398" t="s">
        <v>601</v>
      </c>
      <c r="B22" s="399">
        <v>0.5</v>
      </c>
      <c r="C22" s="400">
        <v>0</v>
      </c>
      <c r="D22" s="489">
        <f t="shared" si="0"/>
        <v>0</v>
      </c>
      <c r="F22" s="398" t="s">
        <v>601</v>
      </c>
      <c r="G22" s="399">
        <v>0.5</v>
      </c>
      <c r="H22" s="400">
        <v>0</v>
      </c>
      <c r="I22" s="489">
        <f t="shared" si="1"/>
        <v>0</v>
      </c>
      <c r="K22" s="398" t="s">
        <v>601</v>
      </c>
      <c r="L22" s="399">
        <v>0.5</v>
      </c>
      <c r="M22" s="400">
        <v>0</v>
      </c>
      <c r="N22" s="489">
        <f t="shared" si="2"/>
        <v>0</v>
      </c>
      <c r="P22" s="398" t="s">
        <v>601</v>
      </c>
      <c r="Q22" s="399">
        <v>0.5</v>
      </c>
      <c r="R22" s="400">
        <v>0</v>
      </c>
      <c r="S22" s="489">
        <f t="shared" si="3"/>
        <v>0</v>
      </c>
      <c r="U22" s="398" t="s">
        <v>601</v>
      </c>
      <c r="V22" s="399">
        <v>0.5</v>
      </c>
      <c r="W22" s="400">
        <v>0</v>
      </c>
      <c r="X22" s="489">
        <f t="shared" si="4"/>
        <v>0</v>
      </c>
      <c r="Y22" s="209"/>
      <c r="Z22" s="209"/>
      <c r="AA22" s="209"/>
      <c r="AB22" s="398" t="s">
        <v>601</v>
      </c>
      <c r="AC22" s="399">
        <v>0.5</v>
      </c>
      <c r="AD22" s="400">
        <v>0</v>
      </c>
      <c r="AE22" s="489">
        <f t="shared" si="5"/>
        <v>0</v>
      </c>
      <c r="AG22" s="398" t="s">
        <v>601</v>
      </c>
      <c r="AH22" s="399">
        <v>0.5</v>
      </c>
      <c r="AI22" s="400">
        <v>0</v>
      </c>
      <c r="AJ22" s="489">
        <f t="shared" si="6"/>
        <v>0</v>
      </c>
      <c r="AL22" s="398" t="s">
        <v>601</v>
      </c>
      <c r="AM22" s="399">
        <v>0.5</v>
      </c>
      <c r="AN22" s="400">
        <v>0</v>
      </c>
      <c r="AO22" s="489">
        <f t="shared" si="7"/>
        <v>0</v>
      </c>
      <c r="AQ22" s="398" t="s">
        <v>601</v>
      </c>
      <c r="AR22" s="399">
        <v>0.5</v>
      </c>
      <c r="AS22" s="400">
        <v>0</v>
      </c>
      <c r="AT22" s="489">
        <f t="shared" si="8"/>
        <v>0</v>
      </c>
      <c r="AU22" s="209"/>
      <c r="AV22" s="209"/>
      <c r="AW22" s="209"/>
    </row>
    <row r="23" spans="1:49" ht="12.75">
      <c r="A23" s="398" t="s">
        <v>602</v>
      </c>
      <c r="B23" s="399">
        <v>0</v>
      </c>
      <c r="C23" s="400">
        <v>0</v>
      </c>
      <c r="D23" s="489">
        <f t="shared" si="0"/>
        <v>0</v>
      </c>
      <c r="F23" s="398" t="s">
        <v>602</v>
      </c>
      <c r="G23" s="399">
        <v>0.5</v>
      </c>
      <c r="H23" s="400">
        <v>0</v>
      </c>
      <c r="I23" s="489">
        <f t="shared" si="1"/>
        <v>0</v>
      </c>
      <c r="K23" s="398" t="s">
        <v>602</v>
      </c>
      <c r="L23" s="399">
        <v>0.5</v>
      </c>
      <c r="M23" s="400">
        <v>0</v>
      </c>
      <c r="N23" s="489">
        <f t="shared" si="2"/>
        <v>0</v>
      </c>
      <c r="P23" s="398" t="s">
        <v>602</v>
      </c>
      <c r="Q23" s="399">
        <v>0.5</v>
      </c>
      <c r="R23" s="400">
        <v>0</v>
      </c>
      <c r="S23" s="489">
        <f t="shared" si="3"/>
        <v>0</v>
      </c>
      <c r="U23" s="398" t="s">
        <v>602</v>
      </c>
      <c r="V23" s="399">
        <v>0.5</v>
      </c>
      <c r="W23" s="400">
        <v>0</v>
      </c>
      <c r="X23" s="489">
        <f t="shared" si="4"/>
        <v>0</v>
      </c>
      <c r="Y23" s="209"/>
      <c r="Z23" s="209"/>
      <c r="AA23" s="209"/>
      <c r="AB23" s="398" t="s">
        <v>602</v>
      </c>
      <c r="AC23" s="399">
        <v>0.5</v>
      </c>
      <c r="AD23" s="400">
        <v>0</v>
      </c>
      <c r="AE23" s="489">
        <f t="shared" si="5"/>
        <v>0</v>
      </c>
      <c r="AG23" s="398" t="s">
        <v>602</v>
      </c>
      <c r="AH23" s="399">
        <v>0.5</v>
      </c>
      <c r="AI23" s="400">
        <v>0</v>
      </c>
      <c r="AJ23" s="489">
        <f t="shared" si="6"/>
        <v>0</v>
      </c>
      <c r="AL23" s="398" t="s">
        <v>602</v>
      </c>
      <c r="AM23" s="399">
        <v>0.5</v>
      </c>
      <c r="AN23" s="400">
        <v>0</v>
      </c>
      <c r="AO23" s="489">
        <f t="shared" si="7"/>
        <v>0</v>
      </c>
      <c r="AQ23" s="398" t="s">
        <v>602</v>
      </c>
      <c r="AR23" s="399">
        <v>0.5</v>
      </c>
      <c r="AS23" s="400">
        <v>0</v>
      </c>
      <c r="AT23" s="489">
        <f t="shared" si="8"/>
        <v>0</v>
      </c>
      <c r="AU23" s="209"/>
      <c r="AV23" s="209"/>
      <c r="AW23" s="209"/>
    </row>
    <row r="24" spans="1:49" ht="12.75">
      <c r="A24" s="401" t="s">
        <v>603</v>
      </c>
      <c r="B24" s="402">
        <v>0</v>
      </c>
      <c r="C24" s="403">
        <v>0</v>
      </c>
      <c r="D24" s="490">
        <f t="shared" si="0"/>
        <v>0</v>
      </c>
      <c r="F24" s="401" t="s">
        <v>1197</v>
      </c>
      <c r="G24" s="402">
        <v>0.4</v>
      </c>
      <c r="H24" s="403">
        <v>0</v>
      </c>
      <c r="I24" s="490">
        <f t="shared" si="1"/>
        <v>0</v>
      </c>
      <c r="K24" s="401" t="s">
        <v>603</v>
      </c>
      <c r="L24" s="402">
        <v>0.4</v>
      </c>
      <c r="M24" s="403">
        <v>0</v>
      </c>
      <c r="N24" s="490">
        <f t="shared" si="2"/>
        <v>0</v>
      </c>
      <c r="P24" s="401" t="s">
        <v>603</v>
      </c>
      <c r="Q24" s="402">
        <v>0.4</v>
      </c>
      <c r="R24" s="403">
        <v>0</v>
      </c>
      <c r="S24" s="490">
        <f t="shared" si="3"/>
        <v>0</v>
      </c>
      <c r="U24" s="401" t="s">
        <v>603</v>
      </c>
      <c r="V24" s="402">
        <v>0.4</v>
      </c>
      <c r="W24" s="403">
        <v>0</v>
      </c>
      <c r="X24" s="490">
        <f t="shared" si="4"/>
        <v>0</v>
      </c>
      <c r="Y24" s="209"/>
      <c r="Z24" s="209"/>
      <c r="AA24" s="209"/>
      <c r="AB24" s="401" t="s">
        <v>603</v>
      </c>
      <c r="AC24" s="402">
        <v>0.4</v>
      </c>
      <c r="AD24" s="403">
        <v>0</v>
      </c>
      <c r="AE24" s="490">
        <f t="shared" si="5"/>
        <v>0</v>
      </c>
      <c r="AG24" s="401" t="s">
        <v>603</v>
      </c>
      <c r="AH24" s="402">
        <v>0.4</v>
      </c>
      <c r="AI24" s="403">
        <v>0</v>
      </c>
      <c r="AJ24" s="490">
        <f t="shared" si="6"/>
        <v>0</v>
      </c>
      <c r="AL24" s="401" t="s">
        <v>603</v>
      </c>
      <c r="AM24" s="402">
        <v>0.4</v>
      </c>
      <c r="AN24" s="403">
        <v>0</v>
      </c>
      <c r="AO24" s="490">
        <f t="shared" si="7"/>
        <v>0</v>
      </c>
      <c r="AQ24" s="401" t="s">
        <v>603</v>
      </c>
      <c r="AR24" s="402">
        <v>0.4</v>
      </c>
      <c r="AS24" s="403">
        <v>0</v>
      </c>
      <c r="AT24" s="490">
        <f t="shared" si="8"/>
        <v>0</v>
      </c>
      <c r="AU24" s="209"/>
      <c r="AV24" s="209"/>
      <c r="AW24" s="209"/>
    </row>
    <row r="25" spans="2:49" ht="12.75">
      <c r="B25" s="211" t="s">
        <v>604</v>
      </c>
      <c r="C25" s="212"/>
      <c r="D25" s="491">
        <f>SUM(D13:D24)*B10*D10</f>
        <v>0</v>
      </c>
      <c r="F25" s="197"/>
      <c r="G25" s="211" t="s">
        <v>604</v>
      </c>
      <c r="H25" s="212"/>
      <c r="I25" s="491">
        <f>SUM(I13:I24)*G10*I10</f>
        <v>0</v>
      </c>
      <c r="K25" s="197"/>
      <c r="L25" s="211" t="s">
        <v>604</v>
      </c>
      <c r="M25" s="212"/>
      <c r="N25" s="491">
        <f>SUM(N13:N24)*L10*N10</f>
        <v>0</v>
      </c>
      <c r="P25" s="197"/>
      <c r="Q25" s="211" t="s">
        <v>604</v>
      </c>
      <c r="R25" s="212"/>
      <c r="S25" s="491">
        <f>SUM(S13:S24)*Q10*S10</f>
        <v>0</v>
      </c>
      <c r="U25" s="197"/>
      <c r="V25" s="211" t="s">
        <v>604</v>
      </c>
      <c r="W25" s="212"/>
      <c r="X25" s="491">
        <f>SUM(X13:X24)*V10*X10</f>
        <v>0</v>
      </c>
      <c r="Y25" s="213"/>
      <c r="Z25" s="213"/>
      <c r="AA25" s="213"/>
      <c r="AB25" s="197"/>
      <c r="AC25" s="211" t="s">
        <v>604</v>
      </c>
      <c r="AD25" s="212"/>
      <c r="AE25" s="491">
        <f>SUM(AE13:AE24)*AC10*AE10</f>
        <v>0</v>
      </c>
      <c r="AG25" s="197"/>
      <c r="AH25" s="211" t="s">
        <v>604</v>
      </c>
      <c r="AI25" s="212"/>
      <c r="AJ25" s="491">
        <f>SUM(AJ13:AJ24)*AH10*AJ10</f>
        <v>0</v>
      </c>
      <c r="AL25" s="197"/>
      <c r="AM25" s="211" t="s">
        <v>604</v>
      </c>
      <c r="AN25" s="212"/>
      <c r="AO25" s="491">
        <f>SUM(AO13:AO24)*AM10*AO10</f>
        <v>0</v>
      </c>
      <c r="AQ25" s="197"/>
      <c r="AR25" s="211" t="s">
        <v>604</v>
      </c>
      <c r="AS25" s="212"/>
      <c r="AT25" s="491">
        <f>SUM(AT13:AT24)*AR10*AT10</f>
        <v>0</v>
      </c>
      <c r="AU25" s="213"/>
      <c r="AV25" s="213"/>
      <c r="AW25" s="213"/>
    </row>
    <row r="26" spans="1:49" ht="12.75">
      <c r="A26" s="98"/>
      <c r="B26" s="214"/>
      <c r="C26" s="214"/>
      <c r="D26" s="213"/>
      <c r="F26" s="98"/>
      <c r="G26" s="214"/>
      <c r="H26" s="214"/>
      <c r="I26" s="213"/>
      <c r="K26" s="98"/>
      <c r="L26" s="214"/>
      <c r="M26" s="214"/>
      <c r="N26" s="213"/>
      <c r="P26" s="98"/>
      <c r="Q26" s="214"/>
      <c r="R26" s="214"/>
      <c r="S26" s="501"/>
      <c r="U26" s="98"/>
      <c r="V26" s="214"/>
      <c r="W26" s="214"/>
      <c r="X26" s="213"/>
      <c r="Y26" s="213"/>
      <c r="Z26" s="213"/>
      <c r="AA26" s="213"/>
      <c r="AB26" s="98"/>
      <c r="AC26" s="214"/>
      <c r="AD26" s="214"/>
      <c r="AE26" s="213"/>
      <c r="AG26" s="98"/>
      <c r="AH26" s="214"/>
      <c r="AI26" s="214"/>
      <c r="AJ26" s="213"/>
      <c r="AL26" s="98"/>
      <c r="AM26" s="214"/>
      <c r="AN26" s="214"/>
      <c r="AO26" s="501"/>
      <c r="AQ26" s="98"/>
      <c r="AR26" s="214"/>
      <c r="AS26" s="214"/>
      <c r="AT26" s="213"/>
      <c r="AU26" s="213"/>
      <c r="AV26" s="213"/>
      <c r="AW26" s="213"/>
    </row>
    <row r="27" spans="1:49" ht="12.75">
      <c r="A27" s="372" t="s">
        <v>605</v>
      </c>
      <c r="B27" s="373" t="str">
        <f>+B12</f>
        <v>COEF. UTA</v>
      </c>
      <c r="C27" s="373" t="s">
        <v>586</v>
      </c>
      <c r="D27" s="374" t="s">
        <v>587</v>
      </c>
      <c r="F27" s="372" t="s">
        <v>605</v>
      </c>
      <c r="G27" s="373" t="str">
        <f>+B12</f>
        <v>COEF. UTA</v>
      </c>
      <c r="H27" s="373" t="s">
        <v>586</v>
      </c>
      <c r="I27" s="498" t="s">
        <v>587</v>
      </c>
      <c r="K27" s="372" t="s">
        <v>605</v>
      </c>
      <c r="L27" s="373" t="str">
        <f>+B12</f>
        <v>COEF. UTA</v>
      </c>
      <c r="M27" s="373" t="s">
        <v>586</v>
      </c>
      <c r="N27" s="498" t="s">
        <v>587</v>
      </c>
      <c r="P27" s="372" t="s">
        <v>605</v>
      </c>
      <c r="Q27" s="373" t="str">
        <f>+B12</f>
        <v>COEF. UTA</v>
      </c>
      <c r="R27" s="373" t="s">
        <v>586</v>
      </c>
      <c r="S27" s="498" t="s">
        <v>587</v>
      </c>
      <c r="U27" s="372" t="s">
        <v>605</v>
      </c>
      <c r="V27" s="373" t="str">
        <f>+B12</f>
        <v>COEF. UTA</v>
      </c>
      <c r="W27" s="373" t="s">
        <v>586</v>
      </c>
      <c r="X27" s="374" t="s">
        <v>587</v>
      </c>
      <c r="Y27" s="117"/>
      <c r="Z27" s="117"/>
      <c r="AA27" s="117"/>
      <c r="AB27" s="372" t="s">
        <v>605</v>
      </c>
      <c r="AC27" s="373" t="str">
        <f>+X12</f>
        <v>SUBTOTAL</v>
      </c>
      <c r="AD27" s="373" t="s">
        <v>586</v>
      </c>
      <c r="AE27" s="498" t="s">
        <v>587</v>
      </c>
      <c r="AG27" s="372" t="s">
        <v>605</v>
      </c>
      <c r="AH27" s="373" t="str">
        <f>+X12</f>
        <v>SUBTOTAL</v>
      </c>
      <c r="AI27" s="373" t="s">
        <v>586</v>
      </c>
      <c r="AJ27" s="498" t="s">
        <v>587</v>
      </c>
      <c r="AL27" s="372" t="s">
        <v>605</v>
      </c>
      <c r="AM27" s="373" t="str">
        <f>+X12</f>
        <v>SUBTOTAL</v>
      </c>
      <c r="AN27" s="373" t="s">
        <v>586</v>
      </c>
      <c r="AO27" s="498" t="s">
        <v>587</v>
      </c>
      <c r="AQ27" s="372" t="s">
        <v>605</v>
      </c>
      <c r="AR27" s="373" t="str">
        <f>+X12</f>
        <v>SUBTOTAL</v>
      </c>
      <c r="AS27" s="373" t="s">
        <v>586</v>
      </c>
      <c r="AT27" s="374" t="s">
        <v>587</v>
      </c>
      <c r="AU27" s="117"/>
      <c r="AV27" s="117"/>
      <c r="AW27" s="117"/>
    </row>
    <row r="28" spans="1:49" ht="12.75">
      <c r="A28" s="395" t="s">
        <v>588</v>
      </c>
      <c r="B28" s="396">
        <v>1</v>
      </c>
      <c r="C28" s="397">
        <v>0</v>
      </c>
      <c r="D28" s="289">
        <f aca="true" t="shared" si="9" ref="D28:D39">B28*C28</f>
        <v>0</v>
      </c>
      <c r="F28" s="395" t="s">
        <v>588</v>
      </c>
      <c r="G28" s="396">
        <v>1</v>
      </c>
      <c r="H28" s="397">
        <v>0</v>
      </c>
      <c r="I28" s="289">
        <f aca="true" t="shared" si="10" ref="I28:I39">G28*H28</f>
        <v>0</v>
      </c>
      <c r="K28" s="395" t="s">
        <v>588</v>
      </c>
      <c r="L28" s="396">
        <v>1</v>
      </c>
      <c r="M28" s="397">
        <v>0</v>
      </c>
      <c r="N28" s="289">
        <f aca="true" t="shared" si="11" ref="N28:N39">L28*M28</f>
        <v>0</v>
      </c>
      <c r="P28" s="395" t="s">
        <v>588</v>
      </c>
      <c r="Q28" s="396">
        <v>1</v>
      </c>
      <c r="R28" s="397">
        <v>0</v>
      </c>
      <c r="S28" s="289">
        <f aca="true" t="shared" si="12" ref="S28:S39">Q28*R28</f>
        <v>0</v>
      </c>
      <c r="U28" s="395" t="s">
        <v>588</v>
      </c>
      <c r="V28" s="396">
        <v>1</v>
      </c>
      <c r="W28" s="397">
        <v>0</v>
      </c>
      <c r="X28" s="289">
        <f aca="true" t="shared" si="13" ref="X28:X39">V28*W28</f>
        <v>0</v>
      </c>
      <c r="Y28" s="209"/>
      <c r="Z28" s="209"/>
      <c r="AA28" s="209"/>
      <c r="AB28" s="395" t="s">
        <v>588</v>
      </c>
      <c r="AC28" s="396">
        <v>1</v>
      </c>
      <c r="AD28" s="397">
        <v>0</v>
      </c>
      <c r="AE28" s="289">
        <f aca="true" t="shared" si="14" ref="AE28:AE39">AC28*AD28</f>
        <v>0</v>
      </c>
      <c r="AG28" s="395" t="s">
        <v>606</v>
      </c>
      <c r="AH28" s="396">
        <v>1</v>
      </c>
      <c r="AI28" s="397">
        <v>0</v>
      </c>
      <c r="AJ28" s="289">
        <f aca="true" t="shared" si="15" ref="AJ28:AJ39">AH28*AI28</f>
        <v>0</v>
      </c>
      <c r="AL28" s="395" t="s">
        <v>607</v>
      </c>
      <c r="AM28" s="396">
        <v>7</v>
      </c>
      <c r="AN28" s="397">
        <v>0</v>
      </c>
      <c r="AO28" s="289">
        <f aca="true" t="shared" si="16" ref="AO28:AO39">AM28*AN28</f>
        <v>0</v>
      </c>
      <c r="AQ28" s="395" t="s">
        <v>607</v>
      </c>
      <c r="AR28" s="396">
        <v>7</v>
      </c>
      <c r="AS28" s="397">
        <v>0</v>
      </c>
      <c r="AT28" s="289">
        <f aca="true" t="shared" si="17" ref="AT28:AT39">AR28*AS28</f>
        <v>0</v>
      </c>
      <c r="AU28" s="209"/>
      <c r="AV28" s="209"/>
      <c r="AW28" s="209"/>
    </row>
    <row r="29" spans="1:49" ht="12.75">
      <c r="A29" s="398" t="s">
        <v>591</v>
      </c>
      <c r="B29" s="399">
        <v>0.8</v>
      </c>
      <c r="C29" s="400">
        <v>0</v>
      </c>
      <c r="D29" s="489">
        <f t="shared" si="9"/>
        <v>0</v>
      </c>
      <c r="F29" s="398" t="s">
        <v>591</v>
      </c>
      <c r="G29" s="399">
        <v>0.8</v>
      </c>
      <c r="H29" s="400">
        <v>0</v>
      </c>
      <c r="I29" s="489">
        <f t="shared" si="10"/>
        <v>0</v>
      </c>
      <c r="K29" s="398" t="s">
        <v>591</v>
      </c>
      <c r="L29" s="399">
        <v>0.8</v>
      </c>
      <c r="M29" s="400">
        <v>0</v>
      </c>
      <c r="N29" s="489">
        <f t="shared" si="11"/>
        <v>0</v>
      </c>
      <c r="P29" s="398" t="s">
        <v>591</v>
      </c>
      <c r="Q29" s="399">
        <v>0.8</v>
      </c>
      <c r="R29" s="400">
        <v>0</v>
      </c>
      <c r="S29" s="489">
        <f t="shared" si="12"/>
        <v>0</v>
      </c>
      <c r="U29" s="398" t="s">
        <v>591</v>
      </c>
      <c r="V29" s="399">
        <v>0.8</v>
      </c>
      <c r="W29" s="400">
        <v>0</v>
      </c>
      <c r="X29" s="489">
        <f t="shared" si="13"/>
        <v>0</v>
      </c>
      <c r="Y29" s="209"/>
      <c r="Z29" s="209"/>
      <c r="AA29" s="209"/>
      <c r="AB29" s="398" t="s">
        <v>591</v>
      </c>
      <c r="AC29" s="399">
        <v>0.8</v>
      </c>
      <c r="AD29" s="400">
        <v>0</v>
      </c>
      <c r="AE29" s="489">
        <f t="shared" si="14"/>
        <v>0</v>
      </c>
      <c r="AG29" s="398" t="s">
        <v>591</v>
      </c>
      <c r="AH29" s="399">
        <v>0.8</v>
      </c>
      <c r="AI29" s="400">
        <v>0</v>
      </c>
      <c r="AJ29" s="489">
        <f t="shared" si="15"/>
        <v>0</v>
      </c>
      <c r="AL29" s="398" t="s">
        <v>608</v>
      </c>
      <c r="AM29" s="399">
        <v>0.91</v>
      </c>
      <c r="AN29" s="400">
        <v>0</v>
      </c>
      <c r="AO29" s="489">
        <f t="shared" si="16"/>
        <v>0</v>
      </c>
      <c r="AQ29" s="398" t="s">
        <v>591</v>
      </c>
      <c r="AR29" s="399">
        <v>0.8</v>
      </c>
      <c r="AS29" s="400">
        <v>0</v>
      </c>
      <c r="AT29" s="489">
        <f t="shared" si="17"/>
        <v>0</v>
      </c>
      <c r="AU29" s="209"/>
      <c r="AV29" s="209"/>
      <c r="AW29" s="209"/>
    </row>
    <row r="30" spans="1:49" ht="12.75">
      <c r="A30" s="398" t="s">
        <v>594</v>
      </c>
      <c r="B30" s="399">
        <v>1</v>
      </c>
      <c r="C30" s="400">
        <v>0</v>
      </c>
      <c r="D30" s="489">
        <f t="shared" si="9"/>
        <v>0</v>
      </c>
      <c r="F30" s="398" t="s">
        <v>594</v>
      </c>
      <c r="G30" s="399">
        <v>1</v>
      </c>
      <c r="H30" s="400">
        <v>0</v>
      </c>
      <c r="I30" s="489">
        <f t="shared" si="10"/>
        <v>0</v>
      </c>
      <c r="K30" s="398" t="s">
        <v>594</v>
      </c>
      <c r="L30" s="399">
        <v>1</v>
      </c>
      <c r="M30" s="400">
        <v>0</v>
      </c>
      <c r="N30" s="489">
        <f t="shared" si="11"/>
        <v>0</v>
      </c>
      <c r="P30" s="398" t="s">
        <v>594</v>
      </c>
      <c r="Q30" s="399">
        <v>1</v>
      </c>
      <c r="R30" s="400">
        <v>0</v>
      </c>
      <c r="S30" s="489">
        <f t="shared" si="12"/>
        <v>0</v>
      </c>
      <c r="U30" s="398" t="s">
        <v>594</v>
      </c>
      <c r="V30" s="399">
        <v>1</v>
      </c>
      <c r="W30" s="400">
        <v>0</v>
      </c>
      <c r="X30" s="489">
        <f t="shared" si="13"/>
        <v>0</v>
      </c>
      <c r="Y30" s="209"/>
      <c r="Z30" s="209"/>
      <c r="AA30" s="209"/>
      <c r="AB30" s="398" t="s">
        <v>594</v>
      </c>
      <c r="AC30" s="399">
        <v>1</v>
      </c>
      <c r="AD30" s="400">
        <v>0</v>
      </c>
      <c r="AE30" s="489">
        <f t="shared" si="14"/>
        <v>0</v>
      </c>
      <c r="AG30" s="398" t="s">
        <v>594</v>
      </c>
      <c r="AH30" s="399">
        <v>1</v>
      </c>
      <c r="AI30" s="400">
        <v>0</v>
      </c>
      <c r="AJ30" s="489">
        <f t="shared" si="15"/>
        <v>0</v>
      </c>
      <c r="AL30" s="398" t="s">
        <v>594</v>
      </c>
      <c r="AM30" s="399">
        <v>1</v>
      </c>
      <c r="AN30" s="400">
        <v>0</v>
      </c>
      <c r="AO30" s="489">
        <f t="shared" si="16"/>
        <v>0</v>
      </c>
      <c r="AQ30" s="398" t="s">
        <v>594</v>
      </c>
      <c r="AR30" s="399">
        <v>1</v>
      </c>
      <c r="AS30" s="400">
        <v>0</v>
      </c>
      <c r="AT30" s="489">
        <f t="shared" si="17"/>
        <v>0</v>
      </c>
      <c r="AU30" s="209"/>
      <c r="AV30" s="209"/>
      <c r="AW30" s="209"/>
    </row>
    <row r="31" spans="1:49" ht="12.75">
      <c r="A31" s="398" t="s">
        <v>595</v>
      </c>
      <c r="B31" s="399">
        <v>0.8</v>
      </c>
      <c r="C31" s="400">
        <v>0</v>
      </c>
      <c r="D31" s="489">
        <f t="shared" si="9"/>
        <v>0</v>
      </c>
      <c r="F31" s="398" t="s">
        <v>595</v>
      </c>
      <c r="G31" s="399">
        <v>0.8</v>
      </c>
      <c r="H31" s="400">
        <v>0</v>
      </c>
      <c r="I31" s="489">
        <f t="shared" si="10"/>
        <v>0</v>
      </c>
      <c r="K31" s="398" t="s">
        <v>595</v>
      </c>
      <c r="L31" s="399">
        <v>0.8</v>
      </c>
      <c r="M31" s="400">
        <v>0</v>
      </c>
      <c r="N31" s="489">
        <f t="shared" si="11"/>
        <v>0</v>
      </c>
      <c r="P31" s="398" t="s">
        <v>595</v>
      </c>
      <c r="Q31" s="399">
        <v>0.8</v>
      </c>
      <c r="R31" s="400">
        <v>0</v>
      </c>
      <c r="S31" s="489">
        <f t="shared" si="12"/>
        <v>0</v>
      </c>
      <c r="U31" s="398" t="s">
        <v>595</v>
      </c>
      <c r="V31" s="399">
        <v>0.8</v>
      </c>
      <c r="W31" s="400">
        <v>0</v>
      </c>
      <c r="X31" s="489">
        <f t="shared" si="13"/>
        <v>0</v>
      </c>
      <c r="Y31" s="209"/>
      <c r="Z31" s="209"/>
      <c r="AA31" s="209"/>
      <c r="AB31" s="398" t="s">
        <v>595</v>
      </c>
      <c r="AC31" s="399">
        <v>0.8</v>
      </c>
      <c r="AD31" s="400">
        <v>0</v>
      </c>
      <c r="AE31" s="489">
        <f t="shared" si="14"/>
        <v>0</v>
      </c>
      <c r="AG31" s="398" t="s">
        <v>595</v>
      </c>
      <c r="AH31" s="399">
        <v>0.8</v>
      </c>
      <c r="AI31" s="400">
        <v>0</v>
      </c>
      <c r="AJ31" s="489">
        <f t="shared" si="15"/>
        <v>0</v>
      </c>
      <c r="AL31" s="398" t="s">
        <v>595</v>
      </c>
      <c r="AM31" s="399">
        <v>0.8</v>
      </c>
      <c r="AN31" s="400">
        <v>0</v>
      </c>
      <c r="AO31" s="489">
        <f t="shared" si="16"/>
        <v>0</v>
      </c>
      <c r="AQ31" s="398" t="s">
        <v>595</v>
      </c>
      <c r="AR31" s="399">
        <v>0.8</v>
      </c>
      <c r="AS31" s="400">
        <v>0</v>
      </c>
      <c r="AT31" s="489">
        <f t="shared" si="17"/>
        <v>0</v>
      </c>
      <c r="AU31" s="209"/>
      <c r="AV31" s="209"/>
      <c r="AW31" s="209"/>
    </row>
    <row r="32" spans="1:49" ht="12.75">
      <c r="A32" s="398" t="s">
        <v>596</v>
      </c>
      <c r="B32" s="399">
        <v>0.2</v>
      </c>
      <c r="C32" s="400">
        <v>0</v>
      </c>
      <c r="D32" s="489">
        <f t="shared" si="9"/>
        <v>0</v>
      </c>
      <c r="F32" s="398" t="s">
        <v>596</v>
      </c>
      <c r="G32" s="399">
        <v>0.2</v>
      </c>
      <c r="H32" s="400">
        <v>0</v>
      </c>
      <c r="I32" s="489">
        <f t="shared" si="10"/>
        <v>0</v>
      </c>
      <c r="K32" s="398" t="s">
        <v>596</v>
      </c>
      <c r="L32" s="399">
        <v>0.2</v>
      </c>
      <c r="M32" s="400">
        <v>0</v>
      </c>
      <c r="N32" s="489">
        <f t="shared" si="11"/>
        <v>0</v>
      </c>
      <c r="P32" s="398" t="s">
        <v>596</v>
      </c>
      <c r="Q32" s="399">
        <v>0.2</v>
      </c>
      <c r="R32" s="400">
        <v>0</v>
      </c>
      <c r="S32" s="489">
        <f t="shared" si="12"/>
        <v>0</v>
      </c>
      <c r="U32" s="398" t="s">
        <v>596</v>
      </c>
      <c r="V32" s="399">
        <v>0.2</v>
      </c>
      <c r="W32" s="400">
        <v>0</v>
      </c>
      <c r="X32" s="489">
        <f t="shared" si="13"/>
        <v>0</v>
      </c>
      <c r="Y32" s="209"/>
      <c r="Z32" s="209"/>
      <c r="AA32" s="209"/>
      <c r="AB32" s="398" t="s">
        <v>596</v>
      </c>
      <c r="AC32" s="399">
        <v>0.2</v>
      </c>
      <c r="AD32" s="400">
        <v>0</v>
      </c>
      <c r="AE32" s="489">
        <f t="shared" si="14"/>
        <v>0</v>
      </c>
      <c r="AG32" s="398" t="s">
        <v>596</v>
      </c>
      <c r="AH32" s="399">
        <v>0.2</v>
      </c>
      <c r="AI32" s="400">
        <v>0</v>
      </c>
      <c r="AJ32" s="489">
        <f t="shared" si="15"/>
        <v>0</v>
      </c>
      <c r="AL32" s="398" t="s">
        <v>596</v>
      </c>
      <c r="AM32" s="399">
        <v>0.2</v>
      </c>
      <c r="AN32" s="400">
        <v>0</v>
      </c>
      <c r="AO32" s="489">
        <f t="shared" si="16"/>
        <v>0</v>
      </c>
      <c r="AQ32" s="398" t="s">
        <v>596</v>
      </c>
      <c r="AR32" s="399">
        <v>0.2</v>
      </c>
      <c r="AS32" s="400">
        <v>0</v>
      </c>
      <c r="AT32" s="489">
        <f t="shared" si="17"/>
        <v>0</v>
      </c>
      <c r="AU32" s="209"/>
      <c r="AV32" s="209"/>
      <c r="AW32" s="209"/>
    </row>
    <row r="33" spans="1:49" ht="12.75">
      <c r="A33" s="398" t="s">
        <v>597</v>
      </c>
      <c r="B33" s="399">
        <v>0.6</v>
      </c>
      <c r="C33" s="400">
        <v>0</v>
      </c>
      <c r="D33" s="489">
        <f t="shared" si="9"/>
        <v>0</v>
      </c>
      <c r="F33" s="398" t="s">
        <v>597</v>
      </c>
      <c r="G33" s="399">
        <v>0.6</v>
      </c>
      <c r="H33" s="400">
        <v>0</v>
      </c>
      <c r="I33" s="489">
        <f t="shared" si="10"/>
        <v>0</v>
      </c>
      <c r="K33" s="398" t="s">
        <v>597</v>
      </c>
      <c r="L33" s="399">
        <v>0.6</v>
      </c>
      <c r="M33" s="400">
        <v>0</v>
      </c>
      <c r="N33" s="489">
        <f t="shared" si="11"/>
        <v>0</v>
      </c>
      <c r="P33" s="398" t="s">
        <v>597</v>
      </c>
      <c r="Q33" s="399">
        <v>0.6</v>
      </c>
      <c r="R33" s="400">
        <v>0</v>
      </c>
      <c r="S33" s="489">
        <f t="shared" si="12"/>
        <v>0</v>
      </c>
      <c r="U33" s="398" t="s">
        <v>597</v>
      </c>
      <c r="V33" s="399">
        <v>0.6</v>
      </c>
      <c r="W33" s="400">
        <v>0</v>
      </c>
      <c r="X33" s="489">
        <f t="shared" si="13"/>
        <v>0</v>
      </c>
      <c r="Y33" s="209"/>
      <c r="Z33" s="209"/>
      <c r="AA33" s="209"/>
      <c r="AB33" s="398" t="s">
        <v>597</v>
      </c>
      <c r="AC33" s="399">
        <v>0.6</v>
      </c>
      <c r="AD33" s="400">
        <v>0</v>
      </c>
      <c r="AE33" s="489">
        <f t="shared" si="14"/>
        <v>0</v>
      </c>
      <c r="AG33" s="398" t="s">
        <v>597</v>
      </c>
      <c r="AH33" s="399">
        <v>0.6</v>
      </c>
      <c r="AI33" s="400">
        <v>0</v>
      </c>
      <c r="AJ33" s="489">
        <f t="shared" si="15"/>
        <v>0</v>
      </c>
      <c r="AL33" s="398" t="s">
        <v>597</v>
      </c>
      <c r="AM33" s="399">
        <v>0.6</v>
      </c>
      <c r="AN33" s="400">
        <v>0</v>
      </c>
      <c r="AO33" s="489">
        <f t="shared" si="16"/>
        <v>0</v>
      </c>
      <c r="AQ33" s="398" t="s">
        <v>597</v>
      </c>
      <c r="AR33" s="399">
        <v>0.6</v>
      </c>
      <c r="AS33" s="400">
        <v>0</v>
      </c>
      <c r="AT33" s="489">
        <f t="shared" si="17"/>
        <v>0</v>
      </c>
      <c r="AU33" s="209"/>
      <c r="AV33" s="209"/>
      <c r="AW33" s="209"/>
    </row>
    <row r="34" spans="1:49" ht="12.75">
      <c r="A34" s="398" t="s">
        <v>598</v>
      </c>
      <c r="B34" s="399">
        <v>0.95</v>
      </c>
      <c r="C34" s="400">
        <v>0</v>
      </c>
      <c r="D34" s="489">
        <f t="shared" si="9"/>
        <v>0</v>
      </c>
      <c r="F34" s="398" t="s">
        <v>598</v>
      </c>
      <c r="G34" s="399">
        <v>0.95</v>
      </c>
      <c r="H34" s="400">
        <v>0</v>
      </c>
      <c r="I34" s="489">
        <f t="shared" si="10"/>
        <v>0</v>
      </c>
      <c r="K34" s="398" t="s">
        <v>598</v>
      </c>
      <c r="L34" s="399">
        <v>0.95</v>
      </c>
      <c r="M34" s="400">
        <v>0</v>
      </c>
      <c r="N34" s="489">
        <f t="shared" si="11"/>
        <v>0</v>
      </c>
      <c r="P34" s="398" t="s">
        <v>598</v>
      </c>
      <c r="Q34" s="399">
        <v>0.95</v>
      </c>
      <c r="R34" s="400">
        <v>0</v>
      </c>
      <c r="S34" s="489">
        <f t="shared" si="12"/>
        <v>0</v>
      </c>
      <c r="U34" s="398" t="s">
        <v>598</v>
      </c>
      <c r="V34" s="399">
        <v>0.95</v>
      </c>
      <c r="W34" s="400">
        <v>0</v>
      </c>
      <c r="X34" s="489">
        <f t="shared" si="13"/>
        <v>0</v>
      </c>
      <c r="Y34" s="209"/>
      <c r="Z34" s="209"/>
      <c r="AA34" s="209"/>
      <c r="AB34" s="398" t="s">
        <v>598</v>
      </c>
      <c r="AC34" s="399">
        <v>0.95</v>
      </c>
      <c r="AD34" s="400">
        <v>0</v>
      </c>
      <c r="AE34" s="489">
        <f t="shared" si="14"/>
        <v>0</v>
      </c>
      <c r="AG34" s="398" t="s">
        <v>598</v>
      </c>
      <c r="AH34" s="399">
        <v>0.95</v>
      </c>
      <c r="AI34" s="400">
        <v>0</v>
      </c>
      <c r="AJ34" s="489">
        <f t="shared" si="15"/>
        <v>0</v>
      </c>
      <c r="AL34" s="398" t="s">
        <v>598</v>
      </c>
      <c r="AM34" s="399">
        <v>0.95</v>
      </c>
      <c r="AN34" s="400">
        <v>0</v>
      </c>
      <c r="AO34" s="489">
        <f t="shared" si="16"/>
        <v>0</v>
      </c>
      <c r="AQ34" s="398" t="s">
        <v>598</v>
      </c>
      <c r="AR34" s="399">
        <v>0.95</v>
      </c>
      <c r="AS34" s="400">
        <v>0</v>
      </c>
      <c r="AT34" s="489">
        <f t="shared" si="17"/>
        <v>0</v>
      </c>
      <c r="AU34" s="209"/>
      <c r="AV34" s="209"/>
      <c r="AW34" s="209"/>
    </row>
    <row r="35" spans="1:49" ht="12.75">
      <c r="A35" s="398" t="s">
        <v>599</v>
      </c>
      <c r="B35" s="399">
        <v>0.5</v>
      </c>
      <c r="C35" s="400">
        <v>0</v>
      </c>
      <c r="D35" s="489">
        <f t="shared" si="9"/>
        <v>0</v>
      </c>
      <c r="F35" s="398" t="s">
        <v>599</v>
      </c>
      <c r="G35" s="399">
        <v>0.5</v>
      </c>
      <c r="H35" s="400">
        <v>0</v>
      </c>
      <c r="I35" s="489">
        <f t="shared" si="10"/>
        <v>0</v>
      </c>
      <c r="K35" s="398" t="s">
        <v>599</v>
      </c>
      <c r="L35" s="399">
        <v>0.5</v>
      </c>
      <c r="M35" s="400">
        <v>0</v>
      </c>
      <c r="N35" s="489">
        <f t="shared" si="11"/>
        <v>0</v>
      </c>
      <c r="P35" s="398" t="s">
        <v>599</v>
      </c>
      <c r="Q35" s="399">
        <v>0.5</v>
      </c>
      <c r="R35" s="400">
        <v>0</v>
      </c>
      <c r="S35" s="489">
        <f t="shared" si="12"/>
        <v>0</v>
      </c>
      <c r="U35" s="398" t="s">
        <v>599</v>
      </c>
      <c r="V35" s="399">
        <v>0.5</v>
      </c>
      <c r="W35" s="400">
        <v>0</v>
      </c>
      <c r="X35" s="489">
        <f t="shared" si="13"/>
        <v>0</v>
      </c>
      <c r="Y35" s="209"/>
      <c r="Z35" s="209"/>
      <c r="AA35" s="209"/>
      <c r="AB35" s="398" t="s">
        <v>599</v>
      </c>
      <c r="AC35" s="399">
        <v>0.5</v>
      </c>
      <c r="AD35" s="400">
        <v>0</v>
      </c>
      <c r="AE35" s="489">
        <f t="shared" si="14"/>
        <v>0</v>
      </c>
      <c r="AG35" s="398" t="s">
        <v>599</v>
      </c>
      <c r="AH35" s="399">
        <v>0.5</v>
      </c>
      <c r="AI35" s="400">
        <v>0</v>
      </c>
      <c r="AJ35" s="489">
        <f t="shared" si="15"/>
        <v>0</v>
      </c>
      <c r="AL35" s="398" t="s">
        <v>599</v>
      </c>
      <c r="AM35" s="399">
        <v>0.5</v>
      </c>
      <c r="AN35" s="400">
        <v>0</v>
      </c>
      <c r="AO35" s="489">
        <f t="shared" si="16"/>
        <v>0</v>
      </c>
      <c r="AQ35" s="398" t="s">
        <v>599</v>
      </c>
      <c r="AR35" s="399">
        <v>0.5</v>
      </c>
      <c r="AS35" s="400">
        <v>0</v>
      </c>
      <c r="AT35" s="489">
        <f t="shared" si="17"/>
        <v>0</v>
      </c>
      <c r="AU35" s="209"/>
      <c r="AV35" s="209"/>
      <c r="AW35" s="209"/>
    </row>
    <row r="36" spans="1:49" ht="12.75">
      <c r="A36" s="398" t="s">
        <v>600</v>
      </c>
      <c r="B36" s="399">
        <v>0.2</v>
      </c>
      <c r="C36" s="400">
        <v>0</v>
      </c>
      <c r="D36" s="489">
        <f t="shared" si="9"/>
        <v>0</v>
      </c>
      <c r="F36" s="398" t="s">
        <v>600</v>
      </c>
      <c r="G36" s="399">
        <v>0.22</v>
      </c>
      <c r="H36" s="400">
        <v>0</v>
      </c>
      <c r="I36" s="489">
        <f t="shared" si="10"/>
        <v>0</v>
      </c>
      <c r="K36" s="398" t="s">
        <v>600</v>
      </c>
      <c r="L36" s="399">
        <v>0.2</v>
      </c>
      <c r="M36" s="400">
        <v>0</v>
      </c>
      <c r="N36" s="489">
        <f t="shared" si="11"/>
        <v>0</v>
      </c>
      <c r="P36" s="398" t="s">
        <v>600</v>
      </c>
      <c r="Q36" s="399">
        <v>0.22</v>
      </c>
      <c r="R36" s="400">
        <v>0</v>
      </c>
      <c r="S36" s="489">
        <f t="shared" si="12"/>
        <v>0</v>
      </c>
      <c r="U36" s="398" t="s">
        <v>600</v>
      </c>
      <c r="V36" s="399">
        <v>0.3</v>
      </c>
      <c r="W36" s="400">
        <v>0</v>
      </c>
      <c r="X36" s="489">
        <f t="shared" si="13"/>
        <v>0</v>
      </c>
      <c r="Y36" s="209"/>
      <c r="Z36" s="209"/>
      <c r="AA36" s="209"/>
      <c r="AB36" s="398" t="s">
        <v>600</v>
      </c>
      <c r="AC36" s="399">
        <v>0.3</v>
      </c>
      <c r="AD36" s="400">
        <v>0</v>
      </c>
      <c r="AE36" s="489">
        <f t="shared" si="14"/>
        <v>0</v>
      </c>
      <c r="AG36" s="398" t="s">
        <v>600</v>
      </c>
      <c r="AH36" s="399">
        <v>0.3</v>
      </c>
      <c r="AI36" s="400">
        <v>0</v>
      </c>
      <c r="AJ36" s="489">
        <f t="shared" si="15"/>
        <v>0</v>
      </c>
      <c r="AL36" s="398" t="s">
        <v>600</v>
      </c>
      <c r="AM36" s="399">
        <v>0.22</v>
      </c>
      <c r="AN36" s="400">
        <v>0</v>
      </c>
      <c r="AO36" s="489">
        <f t="shared" si="16"/>
        <v>0</v>
      </c>
      <c r="AQ36" s="398" t="s">
        <v>600</v>
      </c>
      <c r="AR36" s="399">
        <v>0.3</v>
      </c>
      <c r="AS36" s="400">
        <v>0</v>
      </c>
      <c r="AT36" s="489">
        <f t="shared" si="17"/>
        <v>0</v>
      </c>
      <c r="AU36" s="209"/>
      <c r="AV36" s="209"/>
      <c r="AW36" s="209"/>
    </row>
    <row r="37" spans="1:49" ht="12.75">
      <c r="A37" s="398" t="s">
        <v>601</v>
      </c>
      <c r="B37" s="399">
        <v>0.5</v>
      </c>
      <c r="C37" s="400">
        <v>0</v>
      </c>
      <c r="D37" s="489">
        <f t="shared" si="9"/>
        <v>0</v>
      </c>
      <c r="F37" s="398" t="s">
        <v>601</v>
      </c>
      <c r="G37" s="399">
        <v>0.5</v>
      </c>
      <c r="H37" s="400">
        <v>0</v>
      </c>
      <c r="I37" s="489">
        <f t="shared" si="10"/>
        <v>0</v>
      </c>
      <c r="K37" s="398" t="s">
        <v>601</v>
      </c>
      <c r="L37" s="399">
        <v>0.5</v>
      </c>
      <c r="M37" s="400">
        <v>0</v>
      </c>
      <c r="N37" s="489">
        <f t="shared" si="11"/>
        <v>0</v>
      </c>
      <c r="P37" s="398" t="s">
        <v>601</v>
      </c>
      <c r="Q37" s="399">
        <v>0.5</v>
      </c>
      <c r="R37" s="400">
        <v>0</v>
      </c>
      <c r="S37" s="489">
        <f t="shared" si="12"/>
        <v>0</v>
      </c>
      <c r="U37" s="398" t="s">
        <v>601</v>
      </c>
      <c r="V37" s="399">
        <v>0.5</v>
      </c>
      <c r="W37" s="400">
        <v>0</v>
      </c>
      <c r="X37" s="489">
        <f t="shared" si="13"/>
        <v>0</v>
      </c>
      <c r="Y37" s="209"/>
      <c r="Z37" s="209"/>
      <c r="AA37" s="209"/>
      <c r="AB37" s="398" t="s">
        <v>601</v>
      </c>
      <c r="AC37" s="399">
        <v>0.5</v>
      </c>
      <c r="AD37" s="400">
        <v>0</v>
      </c>
      <c r="AE37" s="489">
        <f t="shared" si="14"/>
        <v>0</v>
      </c>
      <c r="AG37" s="398" t="s">
        <v>601</v>
      </c>
      <c r="AH37" s="399">
        <v>0.5</v>
      </c>
      <c r="AI37" s="400">
        <v>0</v>
      </c>
      <c r="AJ37" s="489">
        <f t="shared" si="15"/>
        <v>0</v>
      </c>
      <c r="AL37" s="398" t="s">
        <v>601</v>
      </c>
      <c r="AM37" s="399">
        <v>0.5</v>
      </c>
      <c r="AN37" s="400">
        <v>0</v>
      </c>
      <c r="AO37" s="489">
        <f t="shared" si="16"/>
        <v>0</v>
      </c>
      <c r="AQ37" s="398" t="s">
        <v>601</v>
      </c>
      <c r="AR37" s="399">
        <v>0.5</v>
      </c>
      <c r="AS37" s="400">
        <v>0</v>
      </c>
      <c r="AT37" s="489">
        <f t="shared" si="17"/>
        <v>0</v>
      </c>
      <c r="AU37" s="209"/>
      <c r="AV37" s="209"/>
      <c r="AW37" s="209"/>
    </row>
    <row r="38" spans="1:49" ht="12.75">
      <c r="A38" s="398" t="s">
        <v>602</v>
      </c>
      <c r="B38" s="399">
        <v>0.5</v>
      </c>
      <c r="C38" s="400">
        <v>0</v>
      </c>
      <c r="D38" s="489">
        <f t="shared" si="9"/>
        <v>0</v>
      </c>
      <c r="F38" s="398" t="s">
        <v>602</v>
      </c>
      <c r="G38" s="399">
        <v>0.5</v>
      </c>
      <c r="H38" s="400">
        <v>0</v>
      </c>
      <c r="I38" s="489">
        <f t="shared" si="10"/>
        <v>0</v>
      </c>
      <c r="K38" s="398" t="s">
        <v>602</v>
      </c>
      <c r="L38" s="399">
        <v>0.5</v>
      </c>
      <c r="M38" s="400">
        <v>0</v>
      </c>
      <c r="N38" s="489">
        <f t="shared" si="11"/>
        <v>0</v>
      </c>
      <c r="P38" s="398" t="s">
        <v>602</v>
      </c>
      <c r="Q38" s="399">
        <v>0.5</v>
      </c>
      <c r="R38" s="400">
        <v>0</v>
      </c>
      <c r="S38" s="489">
        <f t="shared" si="12"/>
        <v>0</v>
      </c>
      <c r="U38" s="398" t="s">
        <v>602</v>
      </c>
      <c r="V38" s="399">
        <v>0.5</v>
      </c>
      <c r="W38" s="400">
        <v>0</v>
      </c>
      <c r="X38" s="489">
        <f t="shared" si="13"/>
        <v>0</v>
      </c>
      <c r="Y38" s="209"/>
      <c r="Z38" s="209"/>
      <c r="AA38" s="209"/>
      <c r="AB38" s="398" t="s">
        <v>602</v>
      </c>
      <c r="AC38" s="399">
        <v>0.5</v>
      </c>
      <c r="AD38" s="400">
        <v>0</v>
      </c>
      <c r="AE38" s="489">
        <f t="shared" si="14"/>
        <v>0</v>
      </c>
      <c r="AG38" s="398" t="s">
        <v>602</v>
      </c>
      <c r="AH38" s="399">
        <v>0.5</v>
      </c>
      <c r="AI38" s="400">
        <v>0</v>
      </c>
      <c r="AJ38" s="489">
        <f t="shared" si="15"/>
        <v>0</v>
      </c>
      <c r="AL38" s="398" t="s">
        <v>602</v>
      </c>
      <c r="AM38" s="399">
        <v>0.5</v>
      </c>
      <c r="AN38" s="400">
        <v>0</v>
      </c>
      <c r="AO38" s="489">
        <f t="shared" si="16"/>
        <v>0</v>
      </c>
      <c r="AQ38" s="398" t="s">
        <v>602</v>
      </c>
      <c r="AR38" s="399">
        <v>0.5</v>
      </c>
      <c r="AS38" s="400">
        <v>0</v>
      </c>
      <c r="AT38" s="489">
        <f t="shared" si="17"/>
        <v>0</v>
      </c>
      <c r="AU38" s="209"/>
      <c r="AV38" s="209"/>
      <c r="AW38" s="209"/>
    </row>
    <row r="39" spans="1:49" ht="12.75">
      <c r="A39" s="401" t="s">
        <v>603</v>
      </c>
      <c r="B39" s="402">
        <v>0.4</v>
      </c>
      <c r="C39" s="403">
        <v>0</v>
      </c>
      <c r="D39" s="490">
        <f t="shared" si="9"/>
        <v>0</v>
      </c>
      <c r="F39" s="401" t="s">
        <v>603</v>
      </c>
      <c r="G39" s="402">
        <v>0.4</v>
      </c>
      <c r="H39" s="403">
        <v>0</v>
      </c>
      <c r="I39" s="490">
        <f t="shared" si="10"/>
        <v>0</v>
      </c>
      <c r="K39" s="401" t="s">
        <v>603</v>
      </c>
      <c r="L39" s="402">
        <v>0.4</v>
      </c>
      <c r="M39" s="403">
        <v>0</v>
      </c>
      <c r="N39" s="490">
        <f t="shared" si="11"/>
        <v>0</v>
      </c>
      <c r="P39" s="401" t="s">
        <v>603</v>
      </c>
      <c r="Q39" s="402">
        <v>0.4</v>
      </c>
      <c r="R39" s="403">
        <v>0</v>
      </c>
      <c r="S39" s="490">
        <f t="shared" si="12"/>
        <v>0</v>
      </c>
      <c r="U39" s="401" t="s">
        <v>603</v>
      </c>
      <c r="V39" s="402">
        <v>0.27</v>
      </c>
      <c r="W39" s="410">
        <v>0</v>
      </c>
      <c r="X39" s="490">
        <f t="shared" si="13"/>
        <v>0</v>
      </c>
      <c r="Y39" s="209"/>
      <c r="Z39" s="209"/>
      <c r="AA39" s="209"/>
      <c r="AB39" s="401" t="s">
        <v>603</v>
      </c>
      <c r="AC39" s="402">
        <v>0.4</v>
      </c>
      <c r="AD39" s="403">
        <v>0</v>
      </c>
      <c r="AE39" s="490">
        <f t="shared" si="14"/>
        <v>0</v>
      </c>
      <c r="AG39" s="401" t="s">
        <v>603</v>
      </c>
      <c r="AH39" s="402">
        <v>0.4</v>
      </c>
      <c r="AI39" s="403">
        <v>0</v>
      </c>
      <c r="AJ39" s="490">
        <f t="shared" si="15"/>
        <v>0</v>
      </c>
      <c r="AL39" s="401" t="s">
        <v>603</v>
      </c>
      <c r="AM39" s="402">
        <v>0.4</v>
      </c>
      <c r="AN39" s="403">
        <v>0</v>
      </c>
      <c r="AO39" s="490">
        <f t="shared" si="16"/>
        <v>0</v>
      </c>
      <c r="AQ39" s="401" t="s">
        <v>603</v>
      </c>
      <c r="AR39" s="402">
        <v>0.4</v>
      </c>
      <c r="AS39" s="410">
        <v>0</v>
      </c>
      <c r="AT39" s="490">
        <f t="shared" si="17"/>
        <v>0</v>
      </c>
      <c r="AU39" s="209"/>
      <c r="AV39" s="209"/>
      <c r="AW39" s="209"/>
    </row>
    <row r="40" spans="2:49" ht="12.75">
      <c r="B40" s="215" t="s">
        <v>609</v>
      </c>
      <c r="C40" s="215"/>
      <c r="D40" s="491">
        <f>SUM(D28:D39)*B10*D11</f>
        <v>0</v>
      </c>
      <c r="F40" s="197"/>
      <c r="G40" s="216" t="s">
        <v>609</v>
      </c>
      <c r="H40" s="216"/>
      <c r="I40" s="491">
        <f>SUM(I28:I39)*G10*I11</f>
        <v>0</v>
      </c>
      <c r="K40" s="197"/>
      <c r="L40" s="216" t="s">
        <v>609</v>
      </c>
      <c r="M40" s="217"/>
      <c r="N40" s="491">
        <f>SUM(N28:N39)*L10*N11</f>
        <v>0</v>
      </c>
      <c r="P40" s="197"/>
      <c r="Q40" s="218" t="s">
        <v>609</v>
      </c>
      <c r="R40" s="217"/>
      <c r="S40" s="491">
        <f>SUM(S28:S39)*Q10*S11</f>
        <v>0</v>
      </c>
      <c r="U40" s="197"/>
      <c r="V40" s="218" t="s">
        <v>609</v>
      </c>
      <c r="W40" s="217"/>
      <c r="X40" s="491">
        <f>SUM(X28:X39)*V10*X11</f>
        <v>0</v>
      </c>
      <c r="Y40" s="213"/>
      <c r="Z40" s="213"/>
      <c r="AA40" s="213"/>
      <c r="AB40" s="197"/>
      <c r="AC40" s="216" t="s">
        <v>609</v>
      </c>
      <c r="AD40" s="216"/>
      <c r="AE40" s="491">
        <f>SUM(AE28:AE39)*AC10*AE11</f>
        <v>0</v>
      </c>
      <c r="AG40" s="197"/>
      <c r="AH40" s="216" t="s">
        <v>609</v>
      </c>
      <c r="AI40" s="217"/>
      <c r="AJ40" s="491">
        <f>SUM(AJ28:AJ39)*AH10*AJ11</f>
        <v>0</v>
      </c>
      <c r="AL40" s="197"/>
      <c r="AM40" s="218" t="s">
        <v>609</v>
      </c>
      <c r="AN40" s="217"/>
      <c r="AO40" s="491">
        <f>SUM(AO28:AO39)*AM10*AO11</f>
        <v>0</v>
      </c>
      <c r="AQ40" s="197"/>
      <c r="AR40" s="218" t="s">
        <v>609</v>
      </c>
      <c r="AS40" s="217"/>
      <c r="AT40" s="491">
        <f>SUM(AT28:AT39)*AR10*AT11</f>
        <v>0</v>
      </c>
      <c r="AU40" s="213"/>
      <c r="AV40" s="213"/>
      <c r="AW40" s="213"/>
    </row>
    <row r="41" spans="1:49" ht="12.75">
      <c r="A41" s="166"/>
      <c r="B41" s="166"/>
      <c r="C41" s="166"/>
      <c r="D41" s="492"/>
      <c r="E41" s="99"/>
      <c r="F41" s="166"/>
      <c r="G41" s="166"/>
      <c r="H41" s="166"/>
      <c r="I41" s="492"/>
      <c r="K41" s="166"/>
      <c r="L41" s="166"/>
      <c r="M41" s="166"/>
      <c r="N41" s="492"/>
      <c r="P41" s="166"/>
      <c r="Q41" s="166"/>
      <c r="R41" s="166"/>
      <c r="S41" s="492"/>
      <c r="U41" s="166"/>
      <c r="V41" s="166"/>
      <c r="W41" s="166"/>
      <c r="X41" s="492"/>
      <c r="Y41" s="166"/>
      <c r="Z41" s="166"/>
      <c r="AA41" s="166"/>
      <c r="AB41" s="166"/>
      <c r="AC41" s="166"/>
      <c r="AD41" s="166"/>
      <c r="AE41" s="492"/>
      <c r="AG41" s="166"/>
      <c r="AH41" s="166"/>
      <c r="AI41" s="166"/>
      <c r="AJ41" s="492"/>
      <c r="AL41" s="166"/>
      <c r="AM41" s="166"/>
      <c r="AN41" s="166"/>
      <c r="AO41" s="492"/>
      <c r="AQ41" s="166"/>
      <c r="AR41" s="166"/>
      <c r="AS41" s="166"/>
      <c r="AT41" s="492"/>
      <c r="AU41" s="166"/>
      <c r="AV41" s="166"/>
      <c r="AW41" s="166"/>
    </row>
    <row r="42" spans="2:49" ht="12.75">
      <c r="B42" s="166"/>
      <c r="C42" s="91" t="s">
        <v>610</v>
      </c>
      <c r="D42" s="493">
        <f>D25+D40</f>
        <v>0</v>
      </c>
      <c r="E42" s="99"/>
      <c r="F42" s="197"/>
      <c r="G42" s="166"/>
      <c r="H42" s="91" t="s">
        <v>610</v>
      </c>
      <c r="I42" s="493">
        <f>I25+I40</f>
        <v>0</v>
      </c>
      <c r="K42" s="197"/>
      <c r="L42" s="166"/>
      <c r="M42" s="91" t="s">
        <v>610</v>
      </c>
      <c r="N42" s="493">
        <f>N25+N40</f>
        <v>0</v>
      </c>
      <c r="P42" s="197"/>
      <c r="Q42" s="166"/>
      <c r="R42" s="199" t="s">
        <v>610</v>
      </c>
      <c r="S42" s="493">
        <f>S25+S40</f>
        <v>0</v>
      </c>
      <c r="U42" s="197"/>
      <c r="V42" s="166"/>
      <c r="W42" s="199" t="s">
        <v>610</v>
      </c>
      <c r="X42" s="493">
        <f>X25+X40</f>
        <v>0</v>
      </c>
      <c r="Y42" s="219"/>
      <c r="Z42" s="219"/>
      <c r="AA42" s="219"/>
      <c r="AB42" s="197"/>
      <c r="AC42" s="166"/>
      <c r="AD42" s="91" t="s">
        <v>610</v>
      </c>
      <c r="AE42" s="493">
        <f>AE25+AE40</f>
        <v>0</v>
      </c>
      <c r="AG42" s="197"/>
      <c r="AH42" s="166"/>
      <c r="AI42" s="91" t="s">
        <v>610</v>
      </c>
      <c r="AJ42" s="493">
        <f>AJ25+AJ40</f>
        <v>0</v>
      </c>
      <c r="AL42" s="197"/>
      <c r="AM42" s="166"/>
      <c r="AN42" s="199" t="s">
        <v>610</v>
      </c>
      <c r="AO42" s="493">
        <f>AO25+AO40</f>
        <v>0</v>
      </c>
      <c r="AQ42" s="197"/>
      <c r="AR42" s="166"/>
      <c r="AS42" s="199" t="s">
        <v>610</v>
      </c>
      <c r="AT42" s="493">
        <f>AT25+AT40</f>
        <v>0</v>
      </c>
      <c r="AU42" s="219"/>
      <c r="AV42" s="219"/>
      <c r="AW42" s="219"/>
    </row>
    <row r="43" spans="1:49" ht="12.75">
      <c r="A43" s="497"/>
      <c r="B43" s="202"/>
      <c r="C43" s="202"/>
      <c r="D43" s="166"/>
      <c r="E43" s="187"/>
      <c r="F43" s="202"/>
      <c r="G43" s="202"/>
      <c r="H43" s="202"/>
      <c r="I43" s="492"/>
      <c r="K43" s="202"/>
      <c r="L43" s="202"/>
      <c r="M43" s="202"/>
      <c r="N43" s="492"/>
      <c r="P43" s="202"/>
      <c r="Q43" s="202"/>
      <c r="R43" s="202"/>
      <c r="S43" s="492"/>
      <c r="U43" s="202"/>
      <c r="V43" s="202"/>
      <c r="W43" s="202"/>
      <c r="X43" s="166"/>
      <c r="Y43" s="166"/>
      <c r="Z43" s="166"/>
      <c r="AA43" s="166"/>
      <c r="AB43" s="202"/>
      <c r="AC43" s="202"/>
      <c r="AD43" s="202"/>
      <c r="AE43" s="492"/>
      <c r="AG43" s="202"/>
      <c r="AH43" s="202"/>
      <c r="AI43" s="202"/>
      <c r="AJ43" s="492"/>
      <c r="AL43" s="202"/>
      <c r="AM43" s="202"/>
      <c r="AN43" s="202"/>
      <c r="AO43" s="492"/>
      <c r="AQ43" s="202"/>
      <c r="AR43" s="202"/>
      <c r="AS43" s="202"/>
      <c r="AT43" s="166"/>
      <c r="AU43" s="166"/>
      <c r="AV43" s="166"/>
      <c r="AW43" s="166"/>
    </row>
    <row r="44" spans="1:49" ht="12.75">
      <c r="A44" s="372" t="s">
        <v>611</v>
      </c>
      <c r="B44" s="373" t="s">
        <v>612</v>
      </c>
      <c r="C44" s="372" t="s">
        <v>613</v>
      </c>
      <c r="D44" s="374" t="s">
        <v>587</v>
      </c>
      <c r="E44" s="187"/>
      <c r="F44" s="372" t="s">
        <v>611</v>
      </c>
      <c r="G44" s="373" t="s">
        <v>612</v>
      </c>
      <c r="H44" s="372" t="s">
        <v>613</v>
      </c>
      <c r="I44" s="498" t="s">
        <v>587</v>
      </c>
      <c r="K44" s="372" t="s">
        <v>611</v>
      </c>
      <c r="L44" s="373" t="s">
        <v>612</v>
      </c>
      <c r="M44" s="372" t="s">
        <v>613</v>
      </c>
      <c r="N44" s="498" t="s">
        <v>587</v>
      </c>
      <c r="P44" s="372" t="s">
        <v>611</v>
      </c>
      <c r="Q44" s="373" t="s">
        <v>612</v>
      </c>
      <c r="R44" s="372" t="s">
        <v>613</v>
      </c>
      <c r="S44" s="498" t="s">
        <v>587</v>
      </c>
      <c r="U44" s="372" t="s">
        <v>611</v>
      </c>
      <c r="V44" s="373" t="s">
        <v>612</v>
      </c>
      <c r="W44" s="372" t="s">
        <v>613</v>
      </c>
      <c r="X44" s="374" t="s">
        <v>587</v>
      </c>
      <c r="Y44" s="117"/>
      <c r="Z44" s="117"/>
      <c r="AA44" s="117"/>
      <c r="AB44" s="372" t="s">
        <v>611</v>
      </c>
      <c r="AC44" s="373" t="s">
        <v>612</v>
      </c>
      <c r="AD44" s="372" t="s">
        <v>613</v>
      </c>
      <c r="AE44" s="498" t="s">
        <v>587</v>
      </c>
      <c r="AG44" s="372" t="s">
        <v>611</v>
      </c>
      <c r="AH44" s="373" t="s">
        <v>612</v>
      </c>
      <c r="AI44" s="372" t="s">
        <v>613</v>
      </c>
      <c r="AJ44" s="498" t="s">
        <v>587</v>
      </c>
      <c r="AL44" s="372" t="s">
        <v>611</v>
      </c>
      <c r="AM44" s="373" t="s">
        <v>612</v>
      </c>
      <c r="AN44" s="372" t="s">
        <v>613</v>
      </c>
      <c r="AO44" s="498" t="s">
        <v>587</v>
      </c>
      <c r="AQ44" s="372" t="s">
        <v>611</v>
      </c>
      <c r="AR44" s="373" t="s">
        <v>612</v>
      </c>
      <c r="AS44" s="372" t="s">
        <v>613</v>
      </c>
      <c r="AT44" s="374" t="s">
        <v>587</v>
      </c>
      <c r="AU44" s="117"/>
      <c r="AV44" s="117"/>
      <c r="AW44" s="117"/>
    </row>
    <row r="45" spans="1:49" ht="12.75">
      <c r="A45" s="395" t="s">
        <v>614</v>
      </c>
      <c r="B45" s="396">
        <v>0</v>
      </c>
      <c r="C45" s="397">
        <v>0</v>
      </c>
      <c r="D45" s="289">
        <f>B45*C45</f>
        <v>0</v>
      </c>
      <c r="E45" s="187"/>
      <c r="F45" s="395" t="s">
        <v>614</v>
      </c>
      <c r="G45" s="396">
        <v>0</v>
      </c>
      <c r="H45" s="397">
        <v>0</v>
      </c>
      <c r="I45" s="289">
        <f>G45*H45</f>
        <v>0</v>
      </c>
      <c r="K45" s="395" t="s">
        <v>614</v>
      </c>
      <c r="L45" s="396">
        <v>0</v>
      </c>
      <c r="M45" s="397">
        <v>0</v>
      </c>
      <c r="N45" s="289">
        <f>L45*M45</f>
        <v>0</v>
      </c>
      <c r="P45" s="395" t="s">
        <v>614</v>
      </c>
      <c r="Q45" s="396">
        <v>0</v>
      </c>
      <c r="R45" s="397">
        <v>0</v>
      </c>
      <c r="S45" s="289">
        <f>Q45*R45</f>
        <v>0</v>
      </c>
      <c r="U45" s="395" t="s">
        <v>614</v>
      </c>
      <c r="V45" s="396">
        <v>0</v>
      </c>
      <c r="W45" s="397">
        <v>0</v>
      </c>
      <c r="X45" s="289">
        <f>V45*W45</f>
        <v>0</v>
      </c>
      <c r="Y45" s="209"/>
      <c r="Z45" s="209"/>
      <c r="AA45" s="209"/>
      <c r="AB45" s="395" t="s">
        <v>614</v>
      </c>
      <c r="AC45" s="396">
        <v>0</v>
      </c>
      <c r="AD45" s="397">
        <v>0</v>
      </c>
      <c r="AE45" s="289">
        <f>AC45*AD45</f>
        <v>0</v>
      </c>
      <c r="AG45" s="395" t="s">
        <v>615</v>
      </c>
      <c r="AH45" s="396">
        <v>0</v>
      </c>
      <c r="AI45" s="397">
        <v>0</v>
      </c>
      <c r="AJ45" s="289">
        <f>AH45*AI45</f>
        <v>0</v>
      </c>
      <c r="AL45" s="395" t="s">
        <v>614</v>
      </c>
      <c r="AM45" s="396">
        <v>0</v>
      </c>
      <c r="AN45" s="397">
        <v>0</v>
      </c>
      <c r="AO45" s="289">
        <f>AM45*AN45</f>
        <v>0</v>
      </c>
      <c r="AQ45" s="395" t="s">
        <v>614</v>
      </c>
      <c r="AR45" s="396">
        <v>0</v>
      </c>
      <c r="AS45" s="397">
        <v>0</v>
      </c>
      <c r="AT45" s="289">
        <f>AR45*AS45</f>
        <v>0</v>
      </c>
      <c r="AU45" s="209"/>
      <c r="AV45" s="209"/>
      <c r="AW45" s="209"/>
    </row>
    <row r="46" spans="1:49" ht="12.75">
      <c r="A46" s="398" t="s">
        <v>618</v>
      </c>
      <c r="B46" s="399">
        <v>0</v>
      </c>
      <c r="C46" s="400">
        <v>0</v>
      </c>
      <c r="D46" s="489">
        <f>B46*C46</f>
        <v>0</v>
      </c>
      <c r="E46" s="187"/>
      <c r="F46" s="398" t="s">
        <v>616</v>
      </c>
      <c r="G46" s="399">
        <v>0</v>
      </c>
      <c r="H46" s="400">
        <v>0</v>
      </c>
      <c r="I46" s="489">
        <f>G46*H46</f>
        <v>0</v>
      </c>
      <c r="K46" s="398" t="s">
        <v>616</v>
      </c>
      <c r="L46" s="399">
        <v>0</v>
      </c>
      <c r="M46" s="400">
        <v>0</v>
      </c>
      <c r="N46" s="489">
        <f>L46*M46</f>
        <v>0</v>
      </c>
      <c r="P46" s="398" t="s">
        <v>617</v>
      </c>
      <c r="Q46" s="399">
        <v>0</v>
      </c>
      <c r="R46" s="400">
        <v>0</v>
      </c>
      <c r="S46" s="489">
        <f>Q46*R46</f>
        <v>0</v>
      </c>
      <c r="U46" s="398" t="s">
        <v>616</v>
      </c>
      <c r="V46" s="399">
        <v>0</v>
      </c>
      <c r="W46" s="400">
        <v>0</v>
      </c>
      <c r="X46" s="489">
        <f>V46*W46</f>
        <v>0</v>
      </c>
      <c r="Y46" s="209"/>
      <c r="Z46" s="209"/>
      <c r="AA46" s="209"/>
      <c r="AB46" s="398" t="s">
        <v>616</v>
      </c>
      <c r="AC46" s="399">
        <v>0</v>
      </c>
      <c r="AD46" s="400">
        <v>0</v>
      </c>
      <c r="AE46" s="489">
        <f>AC46*AD46</f>
        <v>0</v>
      </c>
      <c r="AG46" s="398" t="s">
        <v>616</v>
      </c>
      <c r="AH46" s="399">
        <v>0</v>
      </c>
      <c r="AI46" s="400">
        <v>0</v>
      </c>
      <c r="AJ46" s="489">
        <f>AH46*AI46</f>
        <v>0</v>
      </c>
      <c r="AL46" s="398" t="s">
        <v>616</v>
      </c>
      <c r="AM46" s="399">
        <v>0</v>
      </c>
      <c r="AN46" s="400">
        <v>0</v>
      </c>
      <c r="AO46" s="489">
        <f>AM46*AN46</f>
        <v>0</v>
      </c>
      <c r="AQ46" s="398" t="s">
        <v>618</v>
      </c>
      <c r="AR46" s="399">
        <v>0</v>
      </c>
      <c r="AS46" s="400">
        <v>0</v>
      </c>
      <c r="AT46" s="489">
        <f>AR46*AS46</f>
        <v>0</v>
      </c>
      <c r="AU46" s="209"/>
      <c r="AV46" s="209"/>
      <c r="AW46" s="209"/>
    </row>
    <row r="47" spans="1:50" ht="12.75">
      <c r="A47" s="233" t="s">
        <v>619</v>
      </c>
      <c r="B47" s="220"/>
      <c r="C47" s="221"/>
      <c r="D47" s="494"/>
      <c r="E47" s="222">
        <f>SUM(D48:D52)</f>
        <v>0</v>
      </c>
      <c r="F47" s="98" t="s">
        <v>619</v>
      </c>
      <c r="G47" s="210"/>
      <c r="H47" s="201"/>
      <c r="I47" s="489"/>
      <c r="J47" s="222">
        <f>SUM(I48:I52)</f>
        <v>0</v>
      </c>
      <c r="K47" s="98" t="s">
        <v>619</v>
      </c>
      <c r="L47" s="210"/>
      <c r="M47" s="201"/>
      <c r="N47" s="489"/>
      <c r="O47" s="222">
        <f>SUM(N48:N52)</f>
        <v>0</v>
      </c>
      <c r="P47" s="98" t="s">
        <v>619</v>
      </c>
      <c r="Q47" s="210"/>
      <c r="R47" s="201"/>
      <c r="S47" s="489"/>
      <c r="T47" s="222">
        <f>SUM(S48:S52)</f>
        <v>0</v>
      </c>
      <c r="U47" s="98" t="s">
        <v>619</v>
      </c>
      <c r="V47" s="210"/>
      <c r="W47" s="201">
        <v>0</v>
      </c>
      <c r="X47" s="489"/>
      <c r="Y47" s="209"/>
      <c r="Z47" s="209"/>
      <c r="AA47" s="209"/>
      <c r="AB47" s="233" t="s">
        <v>619</v>
      </c>
      <c r="AC47" s="210"/>
      <c r="AD47" s="201"/>
      <c r="AE47" s="489"/>
      <c r="AF47" s="222">
        <f>SUM(AE48:AE52)</f>
        <v>0</v>
      </c>
      <c r="AG47" s="98" t="s">
        <v>619</v>
      </c>
      <c r="AH47" s="210"/>
      <c r="AI47" s="201"/>
      <c r="AJ47" s="489"/>
      <c r="AK47" s="222">
        <f>SUM(AJ48:AJ52)</f>
        <v>0</v>
      </c>
      <c r="AL47" s="98" t="s">
        <v>619</v>
      </c>
      <c r="AM47" s="210"/>
      <c r="AN47" s="201"/>
      <c r="AO47" s="489"/>
      <c r="AP47" s="222">
        <f>SUM(AO48:AO52)</f>
        <v>0</v>
      </c>
      <c r="AQ47" s="98" t="s">
        <v>619</v>
      </c>
      <c r="AR47" s="210"/>
      <c r="AS47" s="201"/>
      <c r="AT47" s="489"/>
      <c r="AU47" s="209"/>
      <c r="AV47" s="209"/>
      <c r="AW47" s="209"/>
      <c r="AX47" s="223">
        <f>SUM(AT48:AT52)</f>
        <v>0</v>
      </c>
    </row>
    <row r="48" spans="1:50" ht="12.75">
      <c r="A48" s="398">
        <v>1</v>
      </c>
      <c r="B48" s="399">
        <v>0</v>
      </c>
      <c r="C48" s="400">
        <v>0</v>
      </c>
      <c r="D48" s="489">
        <f>B48*C48</f>
        <v>0</v>
      </c>
      <c r="E48" s="187"/>
      <c r="F48" s="398">
        <v>1</v>
      </c>
      <c r="G48" s="399">
        <v>0</v>
      </c>
      <c r="H48" s="400">
        <v>0</v>
      </c>
      <c r="I48" s="489">
        <f>G48*H48</f>
        <v>0</v>
      </c>
      <c r="J48" s="187"/>
      <c r="K48" s="398">
        <v>1</v>
      </c>
      <c r="L48" s="399">
        <v>0</v>
      </c>
      <c r="M48" s="400">
        <v>0</v>
      </c>
      <c r="N48" s="489">
        <f>L48*M48</f>
        <v>0</v>
      </c>
      <c r="O48" s="187"/>
      <c r="P48" s="398" t="s">
        <v>620</v>
      </c>
      <c r="Q48" s="399">
        <v>0</v>
      </c>
      <c r="R48" s="400">
        <v>0</v>
      </c>
      <c r="S48" s="489">
        <f>Q48*R48</f>
        <v>0</v>
      </c>
      <c r="T48" s="187"/>
      <c r="U48" s="398">
        <v>1</v>
      </c>
      <c r="V48" s="399">
        <v>0</v>
      </c>
      <c r="W48" s="400">
        <v>0</v>
      </c>
      <c r="X48" s="489">
        <f>V48*W48</f>
        <v>0</v>
      </c>
      <c r="Y48" s="209"/>
      <c r="Z48" s="209"/>
      <c r="AA48" s="209"/>
      <c r="AB48" s="398">
        <v>1</v>
      </c>
      <c r="AC48" s="399">
        <v>0</v>
      </c>
      <c r="AD48" s="400">
        <v>0</v>
      </c>
      <c r="AE48" s="489">
        <f>AC48*AD48</f>
        <v>0</v>
      </c>
      <c r="AF48" s="187"/>
      <c r="AG48" s="398">
        <v>1</v>
      </c>
      <c r="AH48" s="399">
        <v>0</v>
      </c>
      <c r="AI48" s="400">
        <v>0</v>
      </c>
      <c r="AJ48" s="489">
        <f>AH48*AI48</f>
        <v>0</v>
      </c>
      <c r="AK48" s="187"/>
      <c r="AL48" s="398">
        <v>1</v>
      </c>
      <c r="AM48" s="399">
        <v>0</v>
      </c>
      <c r="AN48" s="400">
        <v>0</v>
      </c>
      <c r="AO48" s="489">
        <f>AM48*AN48</f>
        <v>0</v>
      </c>
      <c r="AP48" s="187"/>
      <c r="AQ48" s="398">
        <v>1</v>
      </c>
      <c r="AR48" s="399">
        <v>0</v>
      </c>
      <c r="AS48" s="400">
        <v>0</v>
      </c>
      <c r="AT48" s="489">
        <f>AR48*AS48</f>
        <v>0</v>
      </c>
      <c r="AU48" s="209"/>
      <c r="AV48" s="209"/>
      <c r="AW48" s="209"/>
      <c r="AX48" s="187"/>
    </row>
    <row r="49" spans="1:50" ht="12.75">
      <c r="A49" s="398">
        <v>2</v>
      </c>
      <c r="B49" s="399">
        <v>0</v>
      </c>
      <c r="C49" s="400">
        <v>0</v>
      </c>
      <c r="D49" s="489">
        <f>B49*C49</f>
        <v>0</v>
      </c>
      <c r="E49" s="187"/>
      <c r="F49" s="398">
        <v>2</v>
      </c>
      <c r="G49" s="399">
        <v>0</v>
      </c>
      <c r="H49" s="400">
        <v>0</v>
      </c>
      <c r="I49" s="489">
        <f>G49*H49</f>
        <v>0</v>
      </c>
      <c r="J49" s="187"/>
      <c r="K49" s="398">
        <v>2</v>
      </c>
      <c r="L49" s="399">
        <v>0</v>
      </c>
      <c r="M49" s="400">
        <v>0</v>
      </c>
      <c r="N49" s="489">
        <f>L49*M49</f>
        <v>0</v>
      </c>
      <c r="O49" s="187"/>
      <c r="P49" s="398" t="s">
        <v>623</v>
      </c>
      <c r="Q49" s="399">
        <v>0</v>
      </c>
      <c r="R49" s="400">
        <v>0</v>
      </c>
      <c r="S49" s="489">
        <f>Q49*R49</f>
        <v>0</v>
      </c>
      <c r="T49" s="187"/>
      <c r="U49" s="398">
        <v>2</v>
      </c>
      <c r="V49" s="399">
        <v>0</v>
      </c>
      <c r="W49" s="400">
        <v>0</v>
      </c>
      <c r="X49" s="489">
        <f>V49*W49</f>
        <v>0</v>
      </c>
      <c r="Y49" s="209"/>
      <c r="Z49" s="209"/>
      <c r="AA49" s="209"/>
      <c r="AB49" s="398">
        <v>2</v>
      </c>
      <c r="AC49" s="399">
        <v>0</v>
      </c>
      <c r="AD49" s="400">
        <v>0</v>
      </c>
      <c r="AE49" s="489">
        <f>AC49*AD49</f>
        <v>0</v>
      </c>
      <c r="AF49" s="187"/>
      <c r="AG49" s="398">
        <v>2</v>
      </c>
      <c r="AH49" s="399">
        <v>0</v>
      </c>
      <c r="AI49" s="400">
        <v>0</v>
      </c>
      <c r="AJ49" s="489">
        <f>AH49*AI49</f>
        <v>0</v>
      </c>
      <c r="AK49" s="187"/>
      <c r="AL49" s="398">
        <v>2</v>
      </c>
      <c r="AM49" s="399">
        <v>0</v>
      </c>
      <c r="AN49" s="400">
        <v>0</v>
      </c>
      <c r="AO49" s="489">
        <f>AM49*AN49</f>
        <v>0</v>
      </c>
      <c r="AP49" s="187"/>
      <c r="AQ49" s="398">
        <v>2</v>
      </c>
      <c r="AR49" s="399">
        <v>0</v>
      </c>
      <c r="AS49" s="400">
        <v>0</v>
      </c>
      <c r="AT49" s="489">
        <f>AR49*AS49</f>
        <v>0</v>
      </c>
      <c r="AU49" s="209"/>
      <c r="AV49" s="209"/>
      <c r="AW49" s="209"/>
      <c r="AX49" s="187"/>
    </row>
    <row r="50" spans="1:50" ht="12.75">
      <c r="A50" s="398">
        <v>3</v>
      </c>
      <c r="B50" s="399">
        <v>0</v>
      </c>
      <c r="C50" s="400">
        <v>0</v>
      </c>
      <c r="D50" s="489">
        <f>B50*C50</f>
        <v>0</v>
      </c>
      <c r="E50" s="187"/>
      <c r="F50" s="398">
        <v>3</v>
      </c>
      <c r="G50" s="399">
        <v>0</v>
      </c>
      <c r="H50" s="400">
        <v>0</v>
      </c>
      <c r="I50" s="489">
        <f>G50*H50</f>
        <v>0</v>
      </c>
      <c r="J50" s="187"/>
      <c r="K50" s="398">
        <v>3</v>
      </c>
      <c r="L50" s="399">
        <v>0</v>
      </c>
      <c r="M50" s="400">
        <v>0</v>
      </c>
      <c r="N50" s="489">
        <f>L50*M50</f>
        <v>0</v>
      </c>
      <c r="O50" s="187"/>
      <c r="P50" s="398" t="s">
        <v>624</v>
      </c>
      <c r="Q50" s="399">
        <v>0</v>
      </c>
      <c r="R50" s="400">
        <v>0</v>
      </c>
      <c r="S50" s="489">
        <f>Q50*R50</f>
        <v>0</v>
      </c>
      <c r="T50" s="187"/>
      <c r="U50" s="398">
        <v>3</v>
      </c>
      <c r="V50" s="399">
        <v>0</v>
      </c>
      <c r="W50" s="400">
        <v>0</v>
      </c>
      <c r="X50" s="489">
        <f>V50*W50</f>
        <v>0</v>
      </c>
      <c r="Y50" s="209"/>
      <c r="Z50" s="209"/>
      <c r="AA50" s="209"/>
      <c r="AB50" s="398">
        <v>3</v>
      </c>
      <c r="AC50" s="399">
        <v>0</v>
      </c>
      <c r="AD50" s="400">
        <v>0</v>
      </c>
      <c r="AE50" s="489">
        <f>AC50*AD50</f>
        <v>0</v>
      </c>
      <c r="AF50" s="187"/>
      <c r="AG50" s="398">
        <v>3</v>
      </c>
      <c r="AH50" s="399">
        <v>0</v>
      </c>
      <c r="AI50" s="400">
        <v>0</v>
      </c>
      <c r="AJ50" s="489">
        <f>AH50*AI50</f>
        <v>0</v>
      </c>
      <c r="AK50" s="187"/>
      <c r="AL50" s="398">
        <v>3</v>
      </c>
      <c r="AM50" s="399">
        <v>0</v>
      </c>
      <c r="AN50" s="400">
        <v>0</v>
      </c>
      <c r="AO50" s="489">
        <f>AM50*AN50</f>
        <v>0</v>
      </c>
      <c r="AP50" s="187"/>
      <c r="AQ50" s="398">
        <v>3</v>
      </c>
      <c r="AR50" s="399">
        <v>0</v>
      </c>
      <c r="AS50" s="400">
        <v>0</v>
      </c>
      <c r="AT50" s="489">
        <f>AR50*AS50</f>
        <v>0</v>
      </c>
      <c r="AU50" s="209"/>
      <c r="AV50" s="209"/>
      <c r="AW50" s="209"/>
      <c r="AX50" s="187"/>
    </row>
    <row r="51" spans="1:50" ht="12.75">
      <c r="A51" s="398">
        <v>4</v>
      </c>
      <c r="B51" s="399">
        <v>0</v>
      </c>
      <c r="C51" s="400">
        <v>0</v>
      </c>
      <c r="D51" s="489">
        <f>B51*C51</f>
        <v>0</v>
      </c>
      <c r="E51" s="187"/>
      <c r="F51" s="398">
        <v>4</v>
      </c>
      <c r="G51" s="399">
        <v>0</v>
      </c>
      <c r="H51" s="400">
        <v>0</v>
      </c>
      <c r="I51" s="489">
        <f>G51*H51</f>
        <v>0</v>
      </c>
      <c r="J51" s="187"/>
      <c r="K51" s="398">
        <v>4</v>
      </c>
      <c r="L51" s="399">
        <v>0</v>
      </c>
      <c r="M51" s="400">
        <v>0</v>
      </c>
      <c r="N51" s="489">
        <f>L51*M51</f>
        <v>0</v>
      </c>
      <c r="O51" s="187"/>
      <c r="P51" s="398" t="s">
        <v>621</v>
      </c>
      <c r="Q51" s="399">
        <v>0</v>
      </c>
      <c r="R51" s="400">
        <v>0</v>
      </c>
      <c r="S51" s="489">
        <f>Q51*R51</f>
        <v>0</v>
      </c>
      <c r="T51" s="187"/>
      <c r="U51" s="398">
        <v>4</v>
      </c>
      <c r="V51" s="399">
        <v>0</v>
      </c>
      <c r="W51" s="400">
        <v>0</v>
      </c>
      <c r="X51" s="489">
        <f>V51*W51</f>
        <v>0</v>
      </c>
      <c r="Y51" s="209"/>
      <c r="Z51" s="209"/>
      <c r="AA51" s="209"/>
      <c r="AB51" s="398">
        <v>4</v>
      </c>
      <c r="AC51" s="399">
        <v>0</v>
      </c>
      <c r="AD51" s="400">
        <v>0</v>
      </c>
      <c r="AE51" s="489">
        <f>AC51*AD51</f>
        <v>0</v>
      </c>
      <c r="AF51" s="187"/>
      <c r="AG51" s="398">
        <v>4</v>
      </c>
      <c r="AH51" s="399">
        <v>0</v>
      </c>
      <c r="AI51" s="400">
        <v>0</v>
      </c>
      <c r="AJ51" s="489">
        <f>AH51*AI51</f>
        <v>0</v>
      </c>
      <c r="AK51" s="187"/>
      <c r="AL51" s="398">
        <v>4</v>
      </c>
      <c r="AM51" s="399">
        <v>0</v>
      </c>
      <c r="AN51" s="400">
        <v>0</v>
      </c>
      <c r="AO51" s="489">
        <f>AM51*AN51</f>
        <v>0</v>
      </c>
      <c r="AP51" s="187"/>
      <c r="AQ51" s="398">
        <v>4</v>
      </c>
      <c r="AR51" s="399">
        <v>0</v>
      </c>
      <c r="AS51" s="400">
        <v>0</v>
      </c>
      <c r="AT51" s="489">
        <f>AR51*AS51</f>
        <v>0</v>
      </c>
      <c r="AU51" s="209"/>
      <c r="AV51" s="209"/>
      <c r="AW51" s="209"/>
      <c r="AX51" s="187"/>
    </row>
    <row r="52" spans="1:50" ht="12.75">
      <c r="A52" s="398">
        <v>5</v>
      </c>
      <c r="B52" s="399">
        <v>0</v>
      </c>
      <c r="C52" s="400">
        <v>0</v>
      </c>
      <c r="D52" s="489">
        <f>B52*C52</f>
        <v>0</v>
      </c>
      <c r="E52" s="187"/>
      <c r="F52" s="398">
        <v>5</v>
      </c>
      <c r="G52" s="399">
        <v>0</v>
      </c>
      <c r="H52" s="400">
        <v>0</v>
      </c>
      <c r="I52" s="489">
        <f>G52*H52</f>
        <v>0</v>
      </c>
      <c r="J52" s="187"/>
      <c r="K52" s="398">
        <v>5</v>
      </c>
      <c r="L52" s="399">
        <v>0</v>
      </c>
      <c r="M52" s="400">
        <v>0</v>
      </c>
      <c r="N52" s="489">
        <f>L52*M52</f>
        <v>0</v>
      </c>
      <c r="O52" s="187"/>
      <c r="P52" s="398" t="s">
        <v>622</v>
      </c>
      <c r="Q52" s="399">
        <v>0</v>
      </c>
      <c r="R52" s="400">
        <v>0</v>
      </c>
      <c r="S52" s="489">
        <f>Q52*R52</f>
        <v>0</v>
      </c>
      <c r="T52" s="187"/>
      <c r="U52" s="398">
        <v>5</v>
      </c>
      <c r="V52" s="399">
        <v>0</v>
      </c>
      <c r="W52" s="400">
        <v>0</v>
      </c>
      <c r="X52" s="489">
        <f>V52*W52</f>
        <v>0</v>
      </c>
      <c r="Y52" s="209"/>
      <c r="Z52" s="209"/>
      <c r="AA52" s="209"/>
      <c r="AB52" s="398">
        <v>5</v>
      </c>
      <c r="AC52" s="399">
        <v>0</v>
      </c>
      <c r="AD52" s="400">
        <v>0</v>
      </c>
      <c r="AE52" s="489">
        <f>AC52*AD52</f>
        <v>0</v>
      </c>
      <c r="AF52" s="187"/>
      <c r="AG52" s="398">
        <v>5</v>
      </c>
      <c r="AH52" s="399">
        <v>0</v>
      </c>
      <c r="AI52" s="400">
        <v>0</v>
      </c>
      <c r="AJ52" s="489">
        <f>AH52*AI52</f>
        <v>0</v>
      </c>
      <c r="AK52" s="187"/>
      <c r="AL52" s="398">
        <v>5</v>
      </c>
      <c r="AM52" s="399">
        <v>0</v>
      </c>
      <c r="AN52" s="400">
        <v>0</v>
      </c>
      <c r="AO52" s="489">
        <f>AM52*AN52</f>
        <v>0</v>
      </c>
      <c r="AP52" s="187"/>
      <c r="AQ52" s="398">
        <v>5</v>
      </c>
      <c r="AR52" s="399">
        <v>0</v>
      </c>
      <c r="AS52" s="400">
        <v>0</v>
      </c>
      <c r="AT52" s="489">
        <f>AR52*AS52</f>
        <v>0</v>
      </c>
      <c r="AU52" s="209"/>
      <c r="AV52" s="209"/>
      <c r="AW52" s="209"/>
      <c r="AX52" s="187"/>
    </row>
    <row r="53" spans="1:50" ht="12.75">
      <c r="A53" s="233" t="s">
        <v>625</v>
      </c>
      <c r="B53" s="98"/>
      <c r="C53" s="98"/>
      <c r="D53" s="495"/>
      <c r="E53" s="222">
        <f>SUM(D54:D58)</f>
        <v>0</v>
      </c>
      <c r="F53" s="98" t="s">
        <v>625</v>
      </c>
      <c r="G53" s="210"/>
      <c r="H53" s="201"/>
      <c r="I53" s="489"/>
      <c r="J53" s="222">
        <f>SUM(I54:I58)</f>
        <v>0</v>
      </c>
      <c r="K53" s="98" t="s">
        <v>625</v>
      </c>
      <c r="L53" s="210"/>
      <c r="M53" s="201"/>
      <c r="N53" s="489"/>
      <c r="O53" s="222">
        <f>SUM(N54:N58)</f>
        <v>0</v>
      </c>
      <c r="P53" s="98" t="s">
        <v>625</v>
      </c>
      <c r="Q53" s="210"/>
      <c r="R53" s="201"/>
      <c r="S53" s="489"/>
      <c r="T53" s="222">
        <f>SUM(S54:S58)</f>
        <v>0</v>
      </c>
      <c r="U53" s="98" t="s">
        <v>625</v>
      </c>
      <c r="V53" s="210"/>
      <c r="W53" s="201">
        <v>0</v>
      </c>
      <c r="X53" s="489"/>
      <c r="Y53" s="209"/>
      <c r="Z53" s="209"/>
      <c r="AA53" s="209"/>
      <c r="AB53" s="233" t="s">
        <v>625</v>
      </c>
      <c r="AC53" s="210"/>
      <c r="AD53" s="201"/>
      <c r="AE53" s="489"/>
      <c r="AF53" s="222">
        <f>SUM(AE54:AE58)</f>
        <v>0</v>
      </c>
      <c r="AG53" s="98" t="s">
        <v>625</v>
      </c>
      <c r="AH53" s="210"/>
      <c r="AI53" s="201"/>
      <c r="AJ53" s="489"/>
      <c r="AK53" s="222">
        <f>SUM(AJ54:AJ58)</f>
        <v>0</v>
      </c>
      <c r="AL53" s="98" t="s">
        <v>625</v>
      </c>
      <c r="AM53" s="210"/>
      <c r="AN53" s="201"/>
      <c r="AO53" s="489"/>
      <c r="AP53" s="222">
        <f>SUM(AO54:AO58)</f>
        <v>0</v>
      </c>
      <c r="AQ53" s="98" t="s">
        <v>625</v>
      </c>
      <c r="AR53" s="210">
        <v>0</v>
      </c>
      <c r="AS53" s="201"/>
      <c r="AT53" s="489"/>
      <c r="AU53" s="209"/>
      <c r="AV53" s="209"/>
      <c r="AW53" s="209"/>
      <c r="AX53" s="223">
        <f>SUM(AT54:AT58)</f>
        <v>0</v>
      </c>
    </row>
    <row r="54" spans="1:49" ht="12.75">
      <c r="A54" s="398">
        <v>1</v>
      </c>
      <c r="B54" s="399">
        <v>0</v>
      </c>
      <c r="C54" s="400">
        <v>0</v>
      </c>
      <c r="D54" s="489">
        <f aca="true" t="shared" si="18" ref="D54:D61">B54*C54</f>
        <v>0</v>
      </c>
      <c r="E54" s="187"/>
      <c r="F54" s="398">
        <v>1</v>
      </c>
      <c r="G54" s="399">
        <v>0</v>
      </c>
      <c r="H54" s="400">
        <v>0</v>
      </c>
      <c r="I54" s="489">
        <f aca="true" t="shared" si="19" ref="I54:I61">G54*H54</f>
        <v>0</v>
      </c>
      <c r="K54" s="398">
        <v>1</v>
      </c>
      <c r="L54" s="399">
        <v>0</v>
      </c>
      <c r="M54" s="400">
        <v>0</v>
      </c>
      <c r="N54" s="489">
        <f aca="true" t="shared" si="20" ref="N54:N61">L54*M54</f>
        <v>0</v>
      </c>
      <c r="P54" s="398" t="s">
        <v>626</v>
      </c>
      <c r="Q54" s="399">
        <v>0</v>
      </c>
      <c r="R54" s="400">
        <v>0</v>
      </c>
      <c r="S54" s="489">
        <f aca="true" t="shared" si="21" ref="S54:S61">Q54*R54</f>
        <v>0</v>
      </c>
      <c r="U54" s="398">
        <v>1</v>
      </c>
      <c r="V54" s="399">
        <v>0</v>
      </c>
      <c r="W54" s="400">
        <v>0</v>
      </c>
      <c r="X54" s="489">
        <f aca="true" t="shared" si="22" ref="X54:X61">V54*W54</f>
        <v>0</v>
      </c>
      <c r="Y54" s="209"/>
      <c r="Z54" s="209"/>
      <c r="AA54" s="209"/>
      <c r="AB54" s="398">
        <v>1</v>
      </c>
      <c r="AC54" s="399">
        <v>0</v>
      </c>
      <c r="AD54" s="400">
        <v>0</v>
      </c>
      <c r="AE54" s="489">
        <f aca="true" t="shared" si="23" ref="AE54:AE61">AC54*AD54</f>
        <v>0</v>
      </c>
      <c r="AG54" s="398">
        <v>1</v>
      </c>
      <c r="AH54" s="399">
        <v>0</v>
      </c>
      <c r="AI54" s="400">
        <v>0</v>
      </c>
      <c r="AJ54" s="489">
        <f aca="true" t="shared" si="24" ref="AJ54:AJ61">AH54*AI54</f>
        <v>0</v>
      </c>
      <c r="AL54" s="398">
        <v>1</v>
      </c>
      <c r="AM54" s="399">
        <v>0</v>
      </c>
      <c r="AN54" s="400">
        <v>0</v>
      </c>
      <c r="AO54" s="489">
        <f aca="true" t="shared" si="25" ref="AO54:AO61">AM54*AN54</f>
        <v>0</v>
      </c>
      <c r="AQ54" s="398">
        <v>1</v>
      </c>
      <c r="AR54" s="399">
        <v>0</v>
      </c>
      <c r="AS54" s="400">
        <v>0</v>
      </c>
      <c r="AT54" s="489">
        <f aca="true" t="shared" si="26" ref="AT54:AT61">AR54*AS54</f>
        <v>0</v>
      </c>
      <c r="AU54" s="209"/>
      <c r="AV54" s="209"/>
      <c r="AW54" s="209"/>
    </row>
    <row r="55" spans="1:49" ht="12.75">
      <c r="A55" s="398">
        <v>2</v>
      </c>
      <c r="B55" s="399">
        <v>0</v>
      </c>
      <c r="C55" s="400">
        <v>0</v>
      </c>
      <c r="D55" s="489">
        <f t="shared" si="18"/>
        <v>0</v>
      </c>
      <c r="E55" s="187"/>
      <c r="F55" s="398">
        <v>2</v>
      </c>
      <c r="G55" s="399">
        <v>0</v>
      </c>
      <c r="H55" s="400">
        <v>0</v>
      </c>
      <c r="I55" s="489">
        <f t="shared" si="19"/>
        <v>0</v>
      </c>
      <c r="K55" s="398">
        <v>2</v>
      </c>
      <c r="L55" s="399">
        <v>0</v>
      </c>
      <c r="M55" s="400">
        <v>0</v>
      </c>
      <c r="N55" s="489">
        <f t="shared" si="20"/>
        <v>0</v>
      </c>
      <c r="P55" s="398">
        <v>2</v>
      </c>
      <c r="Q55" s="399">
        <v>0</v>
      </c>
      <c r="R55" s="400">
        <v>0</v>
      </c>
      <c r="S55" s="489">
        <f t="shared" si="21"/>
        <v>0</v>
      </c>
      <c r="U55" s="398">
        <v>2</v>
      </c>
      <c r="V55" s="399">
        <v>0</v>
      </c>
      <c r="W55" s="400">
        <v>0</v>
      </c>
      <c r="X55" s="489">
        <f t="shared" si="22"/>
        <v>0</v>
      </c>
      <c r="Y55" s="209"/>
      <c r="Z55" s="209"/>
      <c r="AA55" s="209"/>
      <c r="AB55" s="398">
        <v>2</v>
      </c>
      <c r="AC55" s="399">
        <v>0</v>
      </c>
      <c r="AD55" s="400">
        <v>0</v>
      </c>
      <c r="AE55" s="489">
        <f t="shared" si="23"/>
        <v>0</v>
      </c>
      <c r="AG55" s="398">
        <v>2</v>
      </c>
      <c r="AH55" s="399">
        <v>0</v>
      </c>
      <c r="AI55" s="400">
        <v>0</v>
      </c>
      <c r="AJ55" s="489">
        <f t="shared" si="24"/>
        <v>0</v>
      </c>
      <c r="AL55" s="398">
        <v>2</v>
      </c>
      <c r="AM55" s="399">
        <v>0</v>
      </c>
      <c r="AN55" s="400">
        <v>0</v>
      </c>
      <c r="AO55" s="489">
        <f t="shared" si="25"/>
        <v>0</v>
      </c>
      <c r="AQ55" s="398">
        <v>2</v>
      </c>
      <c r="AR55" s="399">
        <v>0</v>
      </c>
      <c r="AS55" s="400">
        <v>0</v>
      </c>
      <c r="AT55" s="489">
        <f t="shared" si="26"/>
        <v>0</v>
      </c>
      <c r="AU55" s="209"/>
      <c r="AV55" s="209"/>
      <c r="AW55" s="209"/>
    </row>
    <row r="56" spans="1:49" ht="12.75">
      <c r="A56" s="398">
        <v>3</v>
      </c>
      <c r="B56" s="399">
        <v>0</v>
      </c>
      <c r="C56" s="400">
        <v>0</v>
      </c>
      <c r="D56" s="489">
        <f t="shared" si="18"/>
        <v>0</v>
      </c>
      <c r="E56" s="187"/>
      <c r="F56" s="398">
        <v>3</v>
      </c>
      <c r="G56" s="399">
        <v>0</v>
      </c>
      <c r="H56" s="400">
        <v>0</v>
      </c>
      <c r="I56" s="489">
        <f t="shared" si="19"/>
        <v>0</v>
      </c>
      <c r="K56" s="398">
        <v>3</v>
      </c>
      <c r="L56" s="399">
        <v>0</v>
      </c>
      <c r="M56" s="400">
        <v>0</v>
      </c>
      <c r="N56" s="489">
        <f t="shared" si="20"/>
        <v>0</v>
      </c>
      <c r="P56" s="398">
        <v>3</v>
      </c>
      <c r="Q56" s="399">
        <v>0</v>
      </c>
      <c r="R56" s="400">
        <v>0</v>
      </c>
      <c r="S56" s="489">
        <f t="shared" si="21"/>
        <v>0</v>
      </c>
      <c r="U56" s="398">
        <v>3</v>
      </c>
      <c r="V56" s="399">
        <v>0</v>
      </c>
      <c r="W56" s="400">
        <v>0</v>
      </c>
      <c r="X56" s="489">
        <f t="shared" si="22"/>
        <v>0</v>
      </c>
      <c r="Y56" s="209"/>
      <c r="Z56" s="209"/>
      <c r="AA56" s="209"/>
      <c r="AB56" s="398">
        <v>3</v>
      </c>
      <c r="AC56" s="399">
        <v>0</v>
      </c>
      <c r="AD56" s="400">
        <v>0</v>
      </c>
      <c r="AE56" s="489">
        <f t="shared" si="23"/>
        <v>0</v>
      </c>
      <c r="AG56" s="398">
        <v>3</v>
      </c>
      <c r="AH56" s="399">
        <v>0</v>
      </c>
      <c r="AI56" s="400">
        <v>0</v>
      </c>
      <c r="AJ56" s="489">
        <f t="shared" si="24"/>
        <v>0</v>
      </c>
      <c r="AL56" s="398">
        <v>3</v>
      </c>
      <c r="AM56" s="399">
        <v>0</v>
      </c>
      <c r="AN56" s="400">
        <v>0</v>
      </c>
      <c r="AO56" s="489">
        <f t="shared" si="25"/>
        <v>0</v>
      </c>
      <c r="AQ56" s="398">
        <v>3</v>
      </c>
      <c r="AR56" s="399">
        <v>0</v>
      </c>
      <c r="AS56" s="400">
        <v>0</v>
      </c>
      <c r="AT56" s="489">
        <f t="shared" si="26"/>
        <v>0</v>
      </c>
      <c r="AU56" s="209"/>
      <c r="AV56" s="209"/>
      <c r="AW56" s="209"/>
    </row>
    <row r="57" spans="1:49" ht="12.75">
      <c r="A57" s="398">
        <v>4</v>
      </c>
      <c r="B57" s="399">
        <f>C30</f>
        <v>0</v>
      </c>
      <c r="C57" s="400">
        <v>0</v>
      </c>
      <c r="D57" s="489">
        <f t="shared" si="18"/>
        <v>0</v>
      </c>
      <c r="E57" s="187"/>
      <c r="F57" s="398">
        <v>4</v>
      </c>
      <c r="G57" s="399">
        <f>H30</f>
        <v>0</v>
      </c>
      <c r="H57" s="400">
        <v>0</v>
      </c>
      <c r="I57" s="489">
        <f t="shared" si="19"/>
        <v>0</v>
      </c>
      <c r="K57" s="398">
        <v>4</v>
      </c>
      <c r="L57" s="399">
        <f>M30</f>
        <v>0</v>
      </c>
      <c r="M57" s="400">
        <v>0</v>
      </c>
      <c r="N57" s="489">
        <f t="shared" si="20"/>
        <v>0</v>
      </c>
      <c r="P57" s="398">
        <v>4</v>
      </c>
      <c r="Q57" s="399">
        <f>R30</f>
        <v>0</v>
      </c>
      <c r="R57" s="400">
        <v>0</v>
      </c>
      <c r="S57" s="489">
        <f t="shared" si="21"/>
        <v>0</v>
      </c>
      <c r="U57" s="398">
        <v>4</v>
      </c>
      <c r="V57" s="399">
        <f>W30</f>
        <v>0</v>
      </c>
      <c r="W57" s="400">
        <v>0</v>
      </c>
      <c r="X57" s="489">
        <f t="shared" si="22"/>
        <v>0</v>
      </c>
      <c r="Y57" s="209"/>
      <c r="Z57" s="209"/>
      <c r="AA57" s="209"/>
      <c r="AB57" s="398">
        <v>4</v>
      </c>
      <c r="AC57" s="399">
        <f>AD30</f>
        <v>0</v>
      </c>
      <c r="AD57" s="400">
        <v>0</v>
      </c>
      <c r="AE57" s="489">
        <f t="shared" si="23"/>
        <v>0</v>
      </c>
      <c r="AG57" s="398">
        <v>4</v>
      </c>
      <c r="AH57" s="399">
        <f>AI30</f>
        <v>0</v>
      </c>
      <c r="AI57" s="400">
        <v>0</v>
      </c>
      <c r="AJ57" s="489">
        <f t="shared" si="24"/>
        <v>0</v>
      </c>
      <c r="AL57" s="398">
        <v>4</v>
      </c>
      <c r="AM57" s="399">
        <f>AN30</f>
        <v>0</v>
      </c>
      <c r="AN57" s="400">
        <v>0</v>
      </c>
      <c r="AO57" s="489">
        <f t="shared" si="25"/>
        <v>0</v>
      </c>
      <c r="AQ57" s="398">
        <v>4</v>
      </c>
      <c r="AR57" s="399">
        <f>AS30</f>
        <v>0</v>
      </c>
      <c r="AS57" s="400">
        <v>0</v>
      </c>
      <c r="AT57" s="489">
        <f t="shared" si="26"/>
        <v>0</v>
      </c>
      <c r="AU57" s="209"/>
      <c r="AV57" s="209"/>
      <c r="AW57" s="209"/>
    </row>
    <row r="58" spans="1:49" ht="12.75">
      <c r="A58" s="398">
        <v>5</v>
      </c>
      <c r="B58" s="399">
        <f>C31</f>
        <v>0</v>
      </c>
      <c r="C58" s="400">
        <v>0</v>
      </c>
      <c r="D58" s="489">
        <f t="shared" si="18"/>
        <v>0</v>
      </c>
      <c r="E58" s="187"/>
      <c r="F58" s="398">
        <v>5</v>
      </c>
      <c r="G58" s="399">
        <f>H31</f>
        <v>0</v>
      </c>
      <c r="H58" s="400">
        <v>0</v>
      </c>
      <c r="I58" s="489">
        <f t="shared" si="19"/>
        <v>0</v>
      </c>
      <c r="K58" s="398">
        <v>5</v>
      </c>
      <c r="L58" s="399">
        <f>M31</f>
        <v>0</v>
      </c>
      <c r="M58" s="400">
        <v>0</v>
      </c>
      <c r="N58" s="489">
        <f t="shared" si="20"/>
        <v>0</v>
      </c>
      <c r="P58" s="398">
        <v>5</v>
      </c>
      <c r="Q58" s="399">
        <f>R31</f>
        <v>0</v>
      </c>
      <c r="R58" s="400">
        <v>0</v>
      </c>
      <c r="S58" s="489">
        <f t="shared" si="21"/>
        <v>0</v>
      </c>
      <c r="U58" s="398">
        <v>5</v>
      </c>
      <c r="V58" s="399">
        <f>W31</f>
        <v>0</v>
      </c>
      <c r="W58" s="400">
        <v>0</v>
      </c>
      <c r="X58" s="489">
        <f t="shared" si="22"/>
        <v>0</v>
      </c>
      <c r="Y58" s="209"/>
      <c r="Z58" s="209"/>
      <c r="AA58" s="209"/>
      <c r="AB58" s="398">
        <v>5</v>
      </c>
      <c r="AC58" s="399">
        <f>AD31</f>
        <v>0</v>
      </c>
      <c r="AD58" s="400">
        <v>0</v>
      </c>
      <c r="AE58" s="489">
        <f t="shared" si="23"/>
        <v>0</v>
      </c>
      <c r="AG58" s="398">
        <v>5</v>
      </c>
      <c r="AH58" s="399">
        <f>AI31</f>
        <v>0</v>
      </c>
      <c r="AI58" s="400">
        <v>0</v>
      </c>
      <c r="AJ58" s="489">
        <f t="shared" si="24"/>
        <v>0</v>
      </c>
      <c r="AL58" s="398">
        <v>5</v>
      </c>
      <c r="AM58" s="399">
        <f>AN31</f>
        <v>0</v>
      </c>
      <c r="AN58" s="400">
        <v>0</v>
      </c>
      <c r="AO58" s="489">
        <f t="shared" si="25"/>
        <v>0</v>
      </c>
      <c r="AQ58" s="398">
        <v>5</v>
      </c>
      <c r="AR58" s="399">
        <f>AS31</f>
        <v>0</v>
      </c>
      <c r="AS58" s="400">
        <v>0</v>
      </c>
      <c r="AT58" s="489">
        <f t="shared" si="26"/>
        <v>0</v>
      </c>
      <c r="AU58" s="209"/>
      <c r="AV58" s="209"/>
      <c r="AW58" s="209"/>
    </row>
    <row r="59" spans="1:49" ht="12.75">
      <c r="A59" s="398">
        <v>6</v>
      </c>
      <c r="B59" s="399">
        <f>C32</f>
        <v>0</v>
      </c>
      <c r="C59" s="400">
        <v>0</v>
      </c>
      <c r="D59" s="489">
        <f t="shared" si="18"/>
        <v>0</v>
      </c>
      <c r="E59" s="187"/>
      <c r="F59" s="398">
        <v>6</v>
      </c>
      <c r="G59" s="399">
        <f>H32</f>
        <v>0</v>
      </c>
      <c r="H59" s="400">
        <v>0</v>
      </c>
      <c r="I59" s="489">
        <f t="shared" si="19"/>
        <v>0</v>
      </c>
      <c r="K59" s="398">
        <v>6</v>
      </c>
      <c r="L59" s="399">
        <f>M32</f>
        <v>0</v>
      </c>
      <c r="M59" s="400">
        <v>0</v>
      </c>
      <c r="N59" s="489">
        <f t="shared" si="20"/>
        <v>0</v>
      </c>
      <c r="P59" s="398" t="s">
        <v>627</v>
      </c>
      <c r="Q59" s="399">
        <f>R32</f>
        <v>0</v>
      </c>
      <c r="R59" s="400">
        <v>0</v>
      </c>
      <c r="S59" s="489">
        <f t="shared" si="21"/>
        <v>0</v>
      </c>
      <c r="U59" s="398">
        <v>6</v>
      </c>
      <c r="V59" s="399">
        <f>W32</f>
        <v>0</v>
      </c>
      <c r="W59" s="400">
        <v>0</v>
      </c>
      <c r="X59" s="489">
        <f t="shared" si="22"/>
        <v>0</v>
      </c>
      <c r="Y59" s="209"/>
      <c r="Z59" s="209"/>
      <c r="AA59" s="209"/>
      <c r="AB59" s="398">
        <v>6</v>
      </c>
      <c r="AC59" s="399">
        <f>AD32</f>
        <v>0</v>
      </c>
      <c r="AD59" s="400">
        <v>0</v>
      </c>
      <c r="AE59" s="489">
        <f t="shared" si="23"/>
        <v>0</v>
      </c>
      <c r="AG59" s="398">
        <v>6</v>
      </c>
      <c r="AH59" s="399">
        <f>AI32</f>
        <v>0</v>
      </c>
      <c r="AI59" s="400">
        <v>0</v>
      </c>
      <c r="AJ59" s="489">
        <f t="shared" si="24"/>
        <v>0</v>
      </c>
      <c r="AL59" s="398">
        <v>6</v>
      </c>
      <c r="AM59" s="399">
        <v>0</v>
      </c>
      <c r="AN59" s="400">
        <v>0</v>
      </c>
      <c r="AO59" s="489">
        <f t="shared" si="25"/>
        <v>0</v>
      </c>
      <c r="AQ59" s="398">
        <v>6</v>
      </c>
      <c r="AR59" s="399">
        <v>0</v>
      </c>
      <c r="AS59" s="400">
        <v>0</v>
      </c>
      <c r="AT59" s="489">
        <f t="shared" si="26"/>
        <v>0</v>
      </c>
      <c r="AU59" s="209"/>
      <c r="AV59" s="209"/>
      <c r="AW59" s="209"/>
    </row>
    <row r="60" spans="1:49" ht="12.75">
      <c r="A60" s="398" t="s">
        <v>628</v>
      </c>
      <c r="B60" s="399">
        <f>C33</f>
        <v>0</v>
      </c>
      <c r="C60" s="400">
        <v>0</v>
      </c>
      <c r="D60" s="489">
        <f t="shared" si="18"/>
        <v>0</v>
      </c>
      <c r="E60" s="187"/>
      <c r="F60" s="398">
        <v>7</v>
      </c>
      <c r="G60" s="399">
        <f>H33</f>
        <v>0</v>
      </c>
      <c r="H60" s="400">
        <v>0</v>
      </c>
      <c r="I60" s="489">
        <f t="shared" si="19"/>
        <v>0</v>
      </c>
      <c r="K60" s="398" t="s">
        <v>628</v>
      </c>
      <c r="L60" s="399">
        <f>M33</f>
        <v>0</v>
      </c>
      <c r="M60" s="400">
        <v>0</v>
      </c>
      <c r="N60" s="489">
        <f t="shared" si="20"/>
        <v>0</v>
      </c>
      <c r="P60" s="398" t="s">
        <v>628</v>
      </c>
      <c r="Q60" s="399">
        <f>R33</f>
        <v>0</v>
      </c>
      <c r="R60" s="400">
        <v>0</v>
      </c>
      <c r="S60" s="489">
        <f t="shared" si="21"/>
        <v>0</v>
      </c>
      <c r="U60" s="398" t="s">
        <v>628</v>
      </c>
      <c r="V60" s="399">
        <f>W33</f>
        <v>0</v>
      </c>
      <c r="W60" s="400">
        <v>0</v>
      </c>
      <c r="X60" s="489">
        <f t="shared" si="22"/>
        <v>0</v>
      </c>
      <c r="Y60" s="209"/>
      <c r="Z60" s="209"/>
      <c r="AA60" s="209"/>
      <c r="AB60" s="398" t="s">
        <v>628</v>
      </c>
      <c r="AC60" s="399">
        <f>AD33</f>
        <v>0</v>
      </c>
      <c r="AD60" s="400">
        <v>0</v>
      </c>
      <c r="AE60" s="489">
        <f t="shared" si="23"/>
        <v>0</v>
      </c>
      <c r="AG60" s="398" t="s">
        <v>628</v>
      </c>
      <c r="AH60" s="399">
        <f>AI33</f>
        <v>0</v>
      </c>
      <c r="AI60" s="400">
        <v>0</v>
      </c>
      <c r="AJ60" s="489">
        <f t="shared" si="24"/>
        <v>0</v>
      </c>
      <c r="AL60" s="398" t="s">
        <v>628</v>
      </c>
      <c r="AM60" s="399">
        <f>AN33</f>
        <v>0</v>
      </c>
      <c r="AN60" s="400">
        <v>0</v>
      </c>
      <c r="AO60" s="489">
        <f t="shared" si="25"/>
        <v>0</v>
      </c>
      <c r="AQ60" s="398" t="s">
        <v>628</v>
      </c>
      <c r="AR60" s="399">
        <f>AS33</f>
        <v>0</v>
      </c>
      <c r="AS60" s="400">
        <v>0</v>
      </c>
      <c r="AT60" s="489">
        <f t="shared" si="26"/>
        <v>0</v>
      </c>
      <c r="AU60" s="209"/>
      <c r="AV60" s="209"/>
      <c r="AW60" s="209"/>
    </row>
    <row r="61" spans="1:49" ht="12.75">
      <c r="A61" s="398" t="s">
        <v>629</v>
      </c>
      <c r="B61" s="399">
        <v>0</v>
      </c>
      <c r="C61" s="400">
        <v>0</v>
      </c>
      <c r="D61" s="489">
        <f t="shared" si="18"/>
        <v>0</v>
      </c>
      <c r="E61" s="187"/>
      <c r="F61" s="398">
        <v>8</v>
      </c>
      <c r="G61" s="399">
        <v>0</v>
      </c>
      <c r="H61" s="400">
        <v>0</v>
      </c>
      <c r="I61" s="489">
        <f t="shared" si="19"/>
        <v>0</v>
      </c>
      <c r="K61" s="398" t="s">
        <v>629</v>
      </c>
      <c r="L61" s="399">
        <v>0</v>
      </c>
      <c r="M61" s="400">
        <v>0</v>
      </c>
      <c r="N61" s="489">
        <f t="shared" si="20"/>
        <v>0</v>
      </c>
      <c r="P61" s="398" t="s">
        <v>629</v>
      </c>
      <c r="Q61" s="399">
        <f>R34</f>
        <v>0</v>
      </c>
      <c r="R61" s="400">
        <v>0</v>
      </c>
      <c r="S61" s="489">
        <f t="shared" si="21"/>
        <v>0</v>
      </c>
      <c r="U61" s="398" t="s">
        <v>629</v>
      </c>
      <c r="V61" s="399">
        <f>W34</f>
        <v>0</v>
      </c>
      <c r="W61" s="400">
        <v>0</v>
      </c>
      <c r="X61" s="489">
        <f t="shared" si="22"/>
        <v>0</v>
      </c>
      <c r="Y61" s="209"/>
      <c r="Z61" s="209"/>
      <c r="AA61" s="209"/>
      <c r="AB61" s="398" t="s">
        <v>629</v>
      </c>
      <c r="AC61" s="399">
        <f>AD34</f>
        <v>0</v>
      </c>
      <c r="AD61" s="400">
        <v>0</v>
      </c>
      <c r="AE61" s="489">
        <f t="shared" si="23"/>
        <v>0</v>
      </c>
      <c r="AG61" s="398" t="s">
        <v>629</v>
      </c>
      <c r="AH61" s="399">
        <f>AI34</f>
        <v>0</v>
      </c>
      <c r="AI61" s="400">
        <v>0</v>
      </c>
      <c r="AJ61" s="489">
        <f t="shared" si="24"/>
        <v>0</v>
      </c>
      <c r="AL61" s="398" t="s">
        <v>629</v>
      </c>
      <c r="AM61" s="399">
        <f>AN34</f>
        <v>0</v>
      </c>
      <c r="AN61" s="400">
        <v>0</v>
      </c>
      <c r="AO61" s="489">
        <f t="shared" si="25"/>
        <v>0</v>
      </c>
      <c r="AQ61" s="398" t="s">
        <v>629</v>
      </c>
      <c r="AR61" s="399">
        <f>AS34</f>
        <v>0</v>
      </c>
      <c r="AS61" s="400">
        <v>0</v>
      </c>
      <c r="AT61" s="489">
        <f t="shared" si="26"/>
        <v>0</v>
      </c>
      <c r="AU61" s="209"/>
      <c r="AV61" s="209"/>
      <c r="AW61" s="209"/>
    </row>
    <row r="62" spans="1:49" ht="12.75">
      <c r="A62" s="224" t="s">
        <v>630</v>
      </c>
      <c r="B62" s="209"/>
      <c r="C62" s="209"/>
      <c r="D62" s="489"/>
      <c r="E62" s="187"/>
      <c r="F62" s="224" t="s">
        <v>630</v>
      </c>
      <c r="G62" s="210"/>
      <c r="H62" s="201"/>
      <c r="I62" s="489"/>
      <c r="K62" s="224" t="s">
        <v>630</v>
      </c>
      <c r="L62" s="210"/>
      <c r="M62" s="201"/>
      <c r="N62" s="489"/>
      <c r="P62" s="224" t="s">
        <v>630</v>
      </c>
      <c r="Q62" s="210"/>
      <c r="R62" s="201"/>
      <c r="S62" s="489"/>
      <c r="U62" s="224" t="s">
        <v>630</v>
      </c>
      <c r="V62" s="210"/>
      <c r="W62" s="201">
        <v>0</v>
      </c>
      <c r="X62" s="489"/>
      <c r="Y62" s="209"/>
      <c r="Z62" s="209"/>
      <c r="AA62" s="209"/>
      <c r="AB62" s="224" t="s">
        <v>630</v>
      </c>
      <c r="AC62" s="210"/>
      <c r="AD62" s="201"/>
      <c r="AE62" s="489"/>
      <c r="AG62" s="224" t="s">
        <v>630</v>
      </c>
      <c r="AH62" s="210"/>
      <c r="AI62" s="201"/>
      <c r="AJ62" s="489"/>
      <c r="AL62" s="224" t="s">
        <v>630</v>
      </c>
      <c r="AM62" s="210"/>
      <c r="AN62" s="201"/>
      <c r="AO62" s="489"/>
      <c r="AQ62" s="224" t="s">
        <v>630</v>
      </c>
      <c r="AR62" s="210"/>
      <c r="AS62" s="201"/>
      <c r="AT62" s="489"/>
      <c r="AU62" s="209"/>
      <c r="AV62" s="209"/>
      <c r="AW62" s="209"/>
    </row>
    <row r="63" spans="1:49" ht="12.75">
      <c r="A63" s="398">
        <v>1</v>
      </c>
      <c r="B63" s="399">
        <v>0</v>
      </c>
      <c r="C63" s="400">
        <v>0</v>
      </c>
      <c r="D63" s="489">
        <f>B63*C63</f>
        <v>0</v>
      </c>
      <c r="E63" s="187"/>
      <c r="F63" s="398">
        <v>1</v>
      </c>
      <c r="G63" s="399">
        <v>0</v>
      </c>
      <c r="H63" s="400">
        <v>0</v>
      </c>
      <c r="I63" s="489">
        <f>G63*H63</f>
        <v>0</v>
      </c>
      <c r="K63" s="398">
        <v>1</v>
      </c>
      <c r="L63" s="399">
        <v>0</v>
      </c>
      <c r="M63" s="400">
        <v>0</v>
      </c>
      <c r="N63" s="489">
        <f>L63*M63</f>
        <v>0</v>
      </c>
      <c r="P63" s="398" t="s">
        <v>631</v>
      </c>
      <c r="Q63" s="399">
        <v>0</v>
      </c>
      <c r="R63" s="400">
        <v>0</v>
      </c>
      <c r="S63" s="489">
        <f>Q63*R63</f>
        <v>0</v>
      </c>
      <c r="U63" s="398">
        <v>1</v>
      </c>
      <c r="V63" s="399">
        <f>W36</f>
        <v>0</v>
      </c>
      <c r="W63" s="400">
        <v>0</v>
      </c>
      <c r="X63" s="489">
        <f>V63*W63</f>
        <v>0</v>
      </c>
      <c r="Y63" s="209"/>
      <c r="Z63" s="209"/>
      <c r="AA63" s="209"/>
      <c r="AB63" s="398">
        <v>1</v>
      </c>
      <c r="AC63" s="399">
        <v>0</v>
      </c>
      <c r="AD63" s="400">
        <v>0</v>
      </c>
      <c r="AE63" s="489">
        <f>AC63*AD63</f>
        <v>0</v>
      </c>
      <c r="AG63" s="398">
        <v>1</v>
      </c>
      <c r="AH63" s="399">
        <v>0</v>
      </c>
      <c r="AI63" s="400">
        <v>0</v>
      </c>
      <c r="AJ63" s="489">
        <f>AH63*AI63</f>
        <v>0</v>
      </c>
      <c r="AL63" s="398">
        <v>1</v>
      </c>
      <c r="AM63" s="399">
        <v>0</v>
      </c>
      <c r="AN63" s="400">
        <v>0</v>
      </c>
      <c r="AO63" s="489">
        <f>AM63*AN63</f>
        <v>0</v>
      </c>
      <c r="AQ63" s="398">
        <v>1</v>
      </c>
      <c r="AR63" s="399">
        <v>0</v>
      </c>
      <c r="AS63" s="400">
        <v>0</v>
      </c>
      <c r="AT63" s="489">
        <f>AR63*AS63</f>
        <v>0</v>
      </c>
      <c r="AU63" s="209"/>
      <c r="AV63" s="209"/>
      <c r="AW63" s="209"/>
    </row>
    <row r="64" spans="1:49" ht="12.75">
      <c r="A64" s="398">
        <v>2</v>
      </c>
      <c r="B64" s="399">
        <f>C37</f>
        <v>0</v>
      </c>
      <c r="C64" s="400">
        <v>0</v>
      </c>
      <c r="D64" s="489">
        <f>B64*C64</f>
        <v>0</v>
      </c>
      <c r="E64" s="187"/>
      <c r="F64" s="398">
        <v>2</v>
      </c>
      <c r="G64" s="399">
        <v>0</v>
      </c>
      <c r="H64" s="400">
        <v>0</v>
      </c>
      <c r="I64" s="489">
        <f>G64*H64</f>
        <v>0</v>
      </c>
      <c r="K64" s="398">
        <v>2</v>
      </c>
      <c r="L64" s="399">
        <v>0</v>
      </c>
      <c r="M64" s="400">
        <v>0</v>
      </c>
      <c r="N64" s="489">
        <f>L64*M64</f>
        <v>0</v>
      </c>
      <c r="P64" s="398" t="s">
        <v>632</v>
      </c>
      <c r="Q64" s="399">
        <v>0</v>
      </c>
      <c r="R64" s="400">
        <v>0</v>
      </c>
      <c r="S64" s="489">
        <f>Q64*R64</f>
        <v>0</v>
      </c>
      <c r="U64" s="398">
        <v>2</v>
      </c>
      <c r="V64" s="399">
        <f>W37</f>
        <v>0</v>
      </c>
      <c r="W64" s="400">
        <v>0</v>
      </c>
      <c r="X64" s="489">
        <f>V64*W64</f>
        <v>0</v>
      </c>
      <c r="Y64" s="209"/>
      <c r="Z64" s="209"/>
      <c r="AA64" s="209"/>
      <c r="AB64" s="398">
        <v>2</v>
      </c>
      <c r="AC64" s="399">
        <f>AD37</f>
        <v>0</v>
      </c>
      <c r="AD64" s="400">
        <v>0</v>
      </c>
      <c r="AE64" s="489">
        <f>AC64*AD64</f>
        <v>0</v>
      </c>
      <c r="AG64" s="398">
        <v>2</v>
      </c>
      <c r="AH64" s="399">
        <v>0</v>
      </c>
      <c r="AI64" s="400">
        <v>0</v>
      </c>
      <c r="AJ64" s="489">
        <f>AH64*AI64</f>
        <v>0</v>
      </c>
      <c r="AL64" s="398">
        <v>2</v>
      </c>
      <c r="AM64" s="399">
        <v>0</v>
      </c>
      <c r="AN64" s="400">
        <v>0</v>
      </c>
      <c r="AO64" s="489">
        <f>AM64*AN64</f>
        <v>0</v>
      </c>
      <c r="AQ64" s="398">
        <v>2</v>
      </c>
      <c r="AR64" s="399">
        <f>AS37</f>
        <v>0</v>
      </c>
      <c r="AS64" s="400">
        <v>0</v>
      </c>
      <c r="AT64" s="489">
        <f>AR64*AS64</f>
        <v>0</v>
      </c>
      <c r="AU64" s="209"/>
      <c r="AV64" s="209"/>
      <c r="AW64" s="209"/>
    </row>
    <row r="65" spans="1:50" ht="12.75">
      <c r="A65" s="401">
        <v>3</v>
      </c>
      <c r="B65" s="404">
        <v>0</v>
      </c>
      <c r="C65" s="403">
        <v>0</v>
      </c>
      <c r="D65" s="490">
        <f>B65*C65</f>
        <v>0</v>
      </c>
      <c r="E65" s="225">
        <f>SUM(D63:D65)</f>
        <v>0</v>
      </c>
      <c r="F65" s="401">
        <v>3</v>
      </c>
      <c r="G65" s="404">
        <v>0</v>
      </c>
      <c r="H65" s="403">
        <v>0</v>
      </c>
      <c r="I65" s="490">
        <f>G65*H65</f>
        <v>0</v>
      </c>
      <c r="J65" s="225">
        <f>SUM(I63:I65)</f>
        <v>0</v>
      </c>
      <c r="K65" s="401">
        <v>3</v>
      </c>
      <c r="L65" s="404">
        <v>0</v>
      </c>
      <c r="M65" s="403">
        <v>0</v>
      </c>
      <c r="N65" s="490">
        <f>L65*M65</f>
        <v>0</v>
      </c>
      <c r="O65" s="225">
        <f>SUM(N63:N65)</f>
        <v>0</v>
      </c>
      <c r="P65" s="401">
        <v>3</v>
      </c>
      <c r="Q65" s="399">
        <v>0</v>
      </c>
      <c r="R65" s="403">
        <v>0</v>
      </c>
      <c r="S65" s="490">
        <f>Q65*R65</f>
        <v>0</v>
      </c>
      <c r="T65" s="225">
        <f>SUM(S63:S65)</f>
        <v>0</v>
      </c>
      <c r="U65" s="401">
        <v>3</v>
      </c>
      <c r="V65" s="404">
        <v>0</v>
      </c>
      <c r="W65" s="403">
        <v>0</v>
      </c>
      <c r="X65" s="490">
        <f>V65*W65</f>
        <v>0</v>
      </c>
      <c r="Y65" s="209"/>
      <c r="Z65" s="209"/>
      <c r="AA65" s="209"/>
      <c r="AB65" s="401">
        <v>3</v>
      </c>
      <c r="AC65" s="404">
        <v>0</v>
      </c>
      <c r="AD65" s="403">
        <v>0</v>
      </c>
      <c r="AE65" s="490">
        <f>AC65*AD65</f>
        <v>0</v>
      </c>
      <c r="AF65" s="225">
        <f>SUM(AE63:AE65)</f>
        <v>0</v>
      </c>
      <c r="AG65" s="401">
        <v>3</v>
      </c>
      <c r="AH65" s="404">
        <v>0</v>
      </c>
      <c r="AI65" s="403">
        <v>0</v>
      </c>
      <c r="AJ65" s="490">
        <f>AH65*AI65</f>
        <v>0</v>
      </c>
      <c r="AK65" s="225">
        <f>SUM(AJ63:AJ65)</f>
        <v>0</v>
      </c>
      <c r="AL65" s="401">
        <v>3</v>
      </c>
      <c r="AM65" s="399">
        <v>0</v>
      </c>
      <c r="AN65" s="403">
        <v>0</v>
      </c>
      <c r="AO65" s="490">
        <f>AM65*AN65</f>
        <v>0</v>
      </c>
      <c r="AP65" s="225">
        <f>SUM(AO63:AO65)</f>
        <v>0</v>
      </c>
      <c r="AQ65" s="401">
        <v>3</v>
      </c>
      <c r="AR65" s="404">
        <v>0</v>
      </c>
      <c r="AS65" s="403">
        <v>0</v>
      </c>
      <c r="AT65" s="490">
        <f>AR65*AS65</f>
        <v>0</v>
      </c>
      <c r="AU65" s="209"/>
      <c r="AV65" s="209"/>
      <c r="AW65" s="209"/>
      <c r="AX65" s="225">
        <f>SUM(AT63:AT65)</f>
        <v>0</v>
      </c>
    </row>
    <row r="66" spans="1:49" ht="12.75">
      <c r="A66" s="202"/>
      <c r="B66" s="211" t="s">
        <v>633</v>
      </c>
      <c r="C66" s="212"/>
      <c r="D66" s="493">
        <f>SUM(D45:D65)</f>
        <v>0</v>
      </c>
      <c r="E66" s="187"/>
      <c r="F66" s="202"/>
      <c r="G66" s="211" t="s">
        <v>633</v>
      </c>
      <c r="H66" s="212"/>
      <c r="I66" s="493">
        <f>SUM(I45:I65)</f>
        <v>0</v>
      </c>
      <c r="K66" s="202"/>
      <c r="L66" s="211" t="s">
        <v>633</v>
      </c>
      <c r="M66" s="212"/>
      <c r="N66" s="493">
        <f>SUM(N45:N65)</f>
        <v>0</v>
      </c>
      <c r="P66" s="202"/>
      <c r="Q66" s="211" t="s">
        <v>633</v>
      </c>
      <c r="R66" s="212"/>
      <c r="S66" s="493">
        <f>SUM(S45:S65)</f>
        <v>0</v>
      </c>
      <c r="U66" s="202"/>
      <c r="V66" s="211" t="s">
        <v>633</v>
      </c>
      <c r="W66" s="212"/>
      <c r="X66" s="493">
        <f>SUM(X45:X65)</f>
        <v>0</v>
      </c>
      <c r="Y66" s="209"/>
      <c r="Z66" s="209"/>
      <c r="AA66" s="209"/>
      <c r="AB66" s="202"/>
      <c r="AC66" s="211" t="s">
        <v>633</v>
      </c>
      <c r="AD66" s="212"/>
      <c r="AE66" s="493">
        <f>SUM(AE45:AE65)</f>
        <v>0</v>
      </c>
      <c r="AG66" s="202"/>
      <c r="AH66" s="211" t="s">
        <v>633</v>
      </c>
      <c r="AI66" s="212"/>
      <c r="AJ66" s="493">
        <f>SUM(AJ45:AJ65)</f>
        <v>0</v>
      </c>
      <c r="AL66" s="202"/>
      <c r="AM66" s="211" t="s">
        <v>633</v>
      </c>
      <c r="AN66" s="212"/>
      <c r="AO66" s="493">
        <f>SUM(AO45:AO65)</f>
        <v>0</v>
      </c>
      <c r="AQ66" s="202"/>
      <c r="AR66" s="211" t="s">
        <v>633</v>
      </c>
      <c r="AS66" s="212"/>
      <c r="AT66" s="493">
        <f>SUM(AT45:AT65)</f>
        <v>0</v>
      </c>
      <c r="AU66" s="209"/>
      <c r="AV66" s="209"/>
      <c r="AW66" s="209"/>
    </row>
    <row r="67" spans="1:49" ht="12.75">
      <c r="A67" s="202"/>
      <c r="B67" s="202"/>
      <c r="C67" s="214"/>
      <c r="D67" s="166"/>
      <c r="E67" s="187"/>
      <c r="F67" s="202"/>
      <c r="G67" s="202"/>
      <c r="H67" s="214"/>
      <c r="I67" s="166"/>
      <c r="K67" s="202"/>
      <c r="L67" s="202"/>
      <c r="M67" s="214"/>
      <c r="N67" s="492"/>
      <c r="P67" s="202"/>
      <c r="Q67" s="202"/>
      <c r="R67" s="214"/>
      <c r="S67" s="166"/>
      <c r="U67" s="202"/>
      <c r="V67" s="202"/>
      <c r="W67" s="214"/>
      <c r="X67" s="166"/>
      <c r="Y67" s="166"/>
      <c r="Z67" s="166"/>
      <c r="AA67" s="166"/>
      <c r="AB67" s="202"/>
      <c r="AC67" s="202"/>
      <c r="AD67" s="214"/>
      <c r="AE67" s="166"/>
      <c r="AG67" s="202"/>
      <c r="AH67" s="202"/>
      <c r="AI67" s="214"/>
      <c r="AJ67" s="492"/>
      <c r="AL67" s="202"/>
      <c r="AM67" s="202"/>
      <c r="AN67" s="214"/>
      <c r="AO67" s="166"/>
      <c r="AQ67" s="202"/>
      <c r="AR67" s="202"/>
      <c r="AS67" s="214"/>
      <c r="AT67" s="166"/>
      <c r="AU67" s="166"/>
      <c r="AV67" s="166"/>
      <c r="AW67" s="166"/>
    </row>
    <row r="68" spans="1:49" ht="12.75">
      <c r="A68" s="84" t="s">
        <v>634</v>
      </c>
      <c r="B68" s="107"/>
      <c r="C68" s="24"/>
      <c r="D68" s="405">
        <v>0</v>
      </c>
      <c r="E68" s="187"/>
      <c r="F68" s="84" t="s">
        <v>634</v>
      </c>
      <c r="G68" s="107"/>
      <c r="H68" s="24"/>
      <c r="I68" s="405">
        <v>0</v>
      </c>
      <c r="K68" s="84" t="s">
        <v>634</v>
      </c>
      <c r="L68" s="107"/>
      <c r="M68" s="24"/>
      <c r="N68" s="499">
        <v>0</v>
      </c>
      <c r="P68" s="84" t="s">
        <v>634</v>
      </c>
      <c r="Q68" s="107"/>
      <c r="R68" s="24"/>
      <c r="S68" s="405">
        <v>0</v>
      </c>
      <c r="U68" s="84" t="s">
        <v>634</v>
      </c>
      <c r="V68" s="107"/>
      <c r="W68" s="24"/>
      <c r="X68" s="405">
        <v>0</v>
      </c>
      <c r="Y68" s="207"/>
      <c r="Z68" s="207"/>
      <c r="AA68" s="207"/>
      <c r="AB68" s="84" t="s">
        <v>634</v>
      </c>
      <c r="AC68" s="107"/>
      <c r="AD68" s="24"/>
      <c r="AE68" s="405">
        <v>0</v>
      </c>
      <c r="AG68" s="84" t="s">
        <v>634</v>
      </c>
      <c r="AH68" s="107"/>
      <c r="AI68" s="24"/>
      <c r="AJ68" s="723">
        <v>0</v>
      </c>
      <c r="AL68" s="84" t="s">
        <v>634</v>
      </c>
      <c r="AM68" s="107"/>
      <c r="AN68" s="24"/>
      <c r="AO68" s="725">
        <v>0</v>
      </c>
      <c r="AQ68" s="84" t="s">
        <v>634</v>
      </c>
      <c r="AR68" s="107"/>
      <c r="AS68" s="24"/>
      <c r="AT68" s="725">
        <v>0</v>
      </c>
      <c r="AU68" s="207"/>
      <c r="AV68" s="207"/>
      <c r="AW68" s="207"/>
    </row>
    <row r="69" spans="1:49" ht="12.75">
      <c r="A69" s="226"/>
      <c r="B69" s="202"/>
      <c r="C69" s="214"/>
      <c r="D69" s="227"/>
      <c r="E69" s="187"/>
      <c r="F69" s="226"/>
      <c r="G69" s="202"/>
      <c r="H69" s="214"/>
      <c r="I69" s="227"/>
      <c r="K69" s="226"/>
      <c r="L69" s="202"/>
      <c r="M69" s="214"/>
      <c r="N69" s="500"/>
      <c r="P69" s="226"/>
      <c r="Q69" s="202"/>
      <c r="R69" s="214"/>
      <c r="S69" s="409"/>
      <c r="U69" s="226"/>
      <c r="V69" s="202"/>
      <c r="W69" s="214"/>
      <c r="X69" s="409"/>
      <c r="Y69" s="207"/>
      <c r="Z69" s="207"/>
      <c r="AA69" s="207"/>
      <c r="AB69" s="226"/>
      <c r="AC69" s="202"/>
      <c r="AD69" s="214"/>
      <c r="AE69" s="227"/>
      <c r="AG69" s="226"/>
      <c r="AH69" s="202"/>
      <c r="AI69" s="214"/>
      <c r="AJ69" s="500"/>
      <c r="AL69" s="226"/>
      <c r="AM69" s="202"/>
      <c r="AN69" s="214"/>
      <c r="AO69" s="409"/>
      <c r="AQ69" s="226"/>
      <c r="AR69" s="202"/>
      <c r="AS69" s="214"/>
      <c r="AT69" s="409"/>
      <c r="AU69" s="207"/>
      <c r="AV69" s="207"/>
      <c r="AW69" s="207"/>
    </row>
    <row r="70" spans="1:49" ht="12.75">
      <c r="A70" s="228" t="s">
        <v>635</v>
      </c>
      <c r="B70" s="229"/>
      <c r="C70" s="230"/>
      <c r="D70" s="406">
        <v>0</v>
      </c>
      <c r="E70" s="187"/>
      <c r="F70" s="228" t="str">
        <f>+A70</f>
        <v>E- OTROS GASTOS FIJOS ($/HA)</v>
      </c>
      <c r="G70" s="229"/>
      <c r="H70" s="230"/>
      <c r="I70" s="406">
        <v>0</v>
      </c>
      <c r="K70" s="228" t="str">
        <f>+A70</f>
        <v>E- OTROS GASTOS FIJOS ($/HA)</v>
      </c>
      <c r="L70" s="229"/>
      <c r="M70" s="230"/>
      <c r="N70" s="406">
        <v>0</v>
      </c>
      <c r="P70" s="228" t="str">
        <f>+A70</f>
        <v>E- OTROS GASTOS FIJOS ($/HA)</v>
      </c>
      <c r="Q70" s="229"/>
      <c r="R70" s="230"/>
      <c r="S70" s="406">
        <v>0</v>
      </c>
      <c r="U70" s="228" t="str">
        <f>+A70</f>
        <v>E- OTROS GASTOS FIJOS ($/HA)</v>
      </c>
      <c r="V70" s="229"/>
      <c r="W70" s="230"/>
      <c r="X70" s="406">
        <v>0</v>
      </c>
      <c r="Y70" s="207"/>
      <c r="Z70" s="207"/>
      <c r="AA70" s="207"/>
      <c r="AB70" s="228" t="str">
        <f>+U70</f>
        <v>E- OTROS GASTOS FIJOS ($/HA)</v>
      </c>
      <c r="AC70" s="229"/>
      <c r="AD70" s="230"/>
      <c r="AE70" s="406">
        <v>0</v>
      </c>
      <c r="AG70" s="228" t="str">
        <f>+AB70</f>
        <v>E- OTROS GASTOS FIJOS ($/HA)</v>
      </c>
      <c r="AH70" s="229"/>
      <c r="AI70" s="230"/>
      <c r="AJ70" s="724">
        <v>0</v>
      </c>
      <c r="AL70" s="228" t="str">
        <f>+AG70</f>
        <v>E- OTROS GASTOS FIJOS ($/HA)</v>
      </c>
      <c r="AM70" s="229"/>
      <c r="AN70" s="230"/>
      <c r="AO70" s="726">
        <v>0</v>
      </c>
      <c r="AQ70" s="228" t="str">
        <f>+AL70</f>
        <v>E- OTROS GASTOS FIJOS ($/HA)</v>
      </c>
      <c r="AR70" s="229"/>
      <c r="AS70" s="230"/>
      <c r="AT70" s="726">
        <v>0</v>
      </c>
      <c r="AU70" s="207"/>
      <c r="AV70" s="207"/>
      <c r="AW70" s="207"/>
    </row>
    <row r="71" spans="1:49" ht="12.75">
      <c r="A71" s="202"/>
      <c r="B71" s="202"/>
      <c r="C71" s="214"/>
      <c r="D71" s="166"/>
      <c r="E71" s="187"/>
      <c r="F71" s="202"/>
      <c r="G71" s="202"/>
      <c r="H71" s="214"/>
      <c r="I71" s="166"/>
      <c r="K71" s="202"/>
      <c r="L71" s="202"/>
      <c r="M71" s="214"/>
      <c r="N71" s="492"/>
      <c r="P71" s="202"/>
      <c r="Q71" s="202"/>
      <c r="R71" s="214"/>
      <c r="S71" s="166"/>
      <c r="U71" s="202"/>
      <c r="V71" s="202"/>
      <c r="W71" s="214"/>
      <c r="X71" s="166"/>
      <c r="Y71" s="166"/>
      <c r="Z71" s="166"/>
      <c r="AA71" s="166"/>
      <c r="AB71" s="202"/>
      <c r="AC71" s="202"/>
      <c r="AD71" s="214"/>
      <c r="AE71" s="166"/>
      <c r="AG71" s="202"/>
      <c r="AH71" s="202"/>
      <c r="AI71" s="214"/>
      <c r="AJ71" s="492"/>
      <c r="AL71" s="202"/>
      <c r="AM71" s="202"/>
      <c r="AN71" s="214"/>
      <c r="AO71" s="166"/>
      <c r="AQ71" s="202"/>
      <c r="AR71" s="202"/>
      <c r="AS71" s="214"/>
      <c r="AT71" s="166"/>
      <c r="AU71" s="166"/>
      <c r="AV71" s="166"/>
      <c r="AW71" s="166"/>
    </row>
    <row r="72" spans="2:49" ht="12.75">
      <c r="B72" s="231" t="s">
        <v>636</v>
      </c>
      <c r="C72" s="212"/>
      <c r="D72" s="493">
        <f>D70+D68+D66+D42</f>
        <v>0</v>
      </c>
      <c r="E72" s="187"/>
      <c r="F72" s="197"/>
      <c r="G72" s="231" t="s">
        <v>637</v>
      </c>
      <c r="H72" s="212"/>
      <c r="I72" s="493">
        <f>I70+I68+I66+I42</f>
        <v>0</v>
      </c>
      <c r="K72" s="197"/>
      <c r="L72" s="231" t="s">
        <v>637</v>
      </c>
      <c r="M72" s="212"/>
      <c r="N72" s="493">
        <f>N70+N68+N66+N42</f>
        <v>0</v>
      </c>
      <c r="P72" s="197"/>
      <c r="Q72" s="231" t="s">
        <v>637</v>
      </c>
      <c r="R72" s="212"/>
      <c r="S72" s="493">
        <f>S70+S68+S66+S42</f>
        <v>0</v>
      </c>
      <c r="U72" s="197"/>
      <c r="V72" s="231" t="s">
        <v>637</v>
      </c>
      <c r="W72" s="212"/>
      <c r="X72" s="493">
        <f>X70+X68+X66+X42</f>
        <v>0</v>
      </c>
      <c r="Y72" s="209"/>
      <c r="Z72" s="209"/>
      <c r="AA72" s="209"/>
      <c r="AB72" s="197"/>
      <c r="AC72" s="231" t="s">
        <v>637</v>
      </c>
      <c r="AD72" s="212"/>
      <c r="AE72" s="493">
        <f>AE70+AE68+AE66+AE42</f>
        <v>0</v>
      </c>
      <c r="AG72" s="197"/>
      <c r="AH72" s="231" t="s">
        <v>637</v>
      </c>
      <c r="AI72" s="212"/>
      <c r="AJ72" s="493">
        <f>AJ70+AJ68+AJ66+AJ42</f>
        <v>0</v>
      </c>
      <c r="AL72" s="197"/>
      <c r="AM72" s="231" t="s">
        <v>637</v>
      </c>
      <c r="AN72" s="212"/>
      <c r="AO72" s="493">
        <f>AO70+AO68+AO66+AO42</f>
        <v>0</v>
      </c>
      <c r="AQ72" s="690"/>
      <c r="AR72" s="231" t="s">
        <v>637</v>
      </c>
      <c r="AS72" s="212"/>
      <c r="AT72" s="493">
        <f>AT70+AT68+AT66+AT42</f>
        <v>0</v>
      </c>
      <c r="AU72" s="209"/>
      <c r="AV72" s="209"/>
      <c r="AW72" s="209"/>
    </row>
    <row r="73" spans="1:49" ht="12.75">
      <c r="A73" s="202"/>
      <c r="B73" s="202"/>
      <c r="C73" s="202"/>
      <c r="D73" s="166"/>
      <c r="E73" s="187"/>
      <c r="F73" s="202"/>
      <c r="G73" s="202"/>
      <c r="H73" s="202"/>
      <c r="I73" s="166"/>
      <c r="K73" s="202"/>
      <c r="L73" s="202"/>
      <c r="M73" s="202"/>
      <c r="N73" s="166"/>
      <c r="P73" s="202"/>
      <c r="Q73" s="202"/>
      <c r="R73" s="202"/>
      <c r="S73" s="166"/>
      <c r="U73" s="202"/>
      <c r="V73" s="202"/>
      <c r="W73" s="202"/>
      <c r="X73" s="166"/>
      <c r="Y73" s="166"/>
      <c r="Z73" s="166"/>
      <c r="AA73" s="166"/>
      <c r="AB73" s="202"/>
      <c r="AC73" s="202"/>
      <c r="AD73" s="202"/>
      <c r="AE73" s="166"/>
      <c r="AG73" s="202"/>
      <c r="AH73" s="202"/>
      <c r="AI73" s="202"/>
      <c r="AJ73" s="166"/>
      <c r="AL73" s="202"/>
      <c r="AM73" s="202"/>
      <c r="AN73" s="202"/>
      <c r="AO73" s="166"/>
      <c r="AQ73" s="202"/>
      <c r="AR73" s="202"/>
      <c r="AS73" s="202"/>
      <c r="AT73" s="166"/>
      <c r="AU73" s="166"/>
      <c r="AV73" s="166"/>
      <c r="AW73" s="166"/>
    </row>
    <row r="74" spans="3:49" ht="12.75">
      <c r="C74" s="202"/>
      <c r="D74" s="209"/>
      <c r="E74" s="101"/>
      <c r="F74" s="197"/>
      <c r="G74" s="197"/>
      <c r="H74" s="202"/>
      <c r="I74" s="209"/>
      <c r="K74" s="197"/>
      <c r="L74" s="197"/>
      <c r="M74" s="202"/>
      <c r="N74" s="209"/>
      <c r="P74" s="197"/>
      <c r="Q74" s="197"/>
      <c r="R74" s="202"/>
      <c r="S74" s="209"/>
      <c r="U74" s="197"/>
      <c r="V74" s="197"/>
      <c r="W74" s="202"/>
      <c r="X74" s="209"/>
      <c r="Y74" s="209"/>
      <c r="Z74" s="209"/>
      <c r="AA74" s="209"/>
      <c r="AB74" s="197"/>
      <c r="AC74" s="197"/>
      <c r="AD74" s="202"/>
      <c r="AE74" s="209"/>
      <c r="AG74" s="197"/>
      <c r="AH74" s="197"/>
      <c r="AI74" s="202"/>
      <c r="AJ74" s="209"/>
      <c r="AL74" s="197"/>
      <c r="AM74" s="197"/>
      <c r="AN74" s="202"/>
      <c r="AO74" s="209"/>
      <c r="AQ74" s="197"/>
      <c r="AR74" s="197"/>
      <c r="AS74" s="202"/>
      <c r="AT74" s="209"/>
      <c r="AU74" s="209"/>
      <c r="AV74" s="209"/>
      <c r="AW74" s="209"/>
    </row>
    <row r="75" spans="1:49" ht="12.75">
      <c r="A75" s="373" t="s">
        <v>638</v>
      </c>
      <c r="B75" s="202"/>
      <c r="C75" s="202"/>
      <c r="D75" s="202"/>
      <c r="E75" s="187"/>
      <c r="F75" s="373" t="str">
        <f>+A75</f>
        <v>2- GASTOS VARIABLES</v>
      </c>
      <c r="G75" s="202"/>
      <c r="H75" s="202"/>
      <c r="I75" s="202"/>
      <c r="K75" s="373" t="str">
        <f>+A75</f>
        <v>2- GASTOS VARIABLES</v>
      </c>
      <c r="L75" s="202"/>
      <c r="M75" s="202"/>
      <c r="N75" s="202"/>
      <c r="P75" s="373" t="str">
        <f>+A75</f>
        <v>2- GASTOS VARIABLES</v>
      </c>
      <c r="Q75" s="202"/>
      <c r="R75" s="202"/>
      <c r="S75" s="202"/>
      <c r="U75" s="373" t="str">
        <f>+A75</f>
        <v>2- GASTOS VARIABLES</v>
      </c>
      <c r="V75" s="202"/>
      <c r="W75" s="202"/>
      <c r="X75" s="202"/>
      <c r="Y75" s="202"/>
      <c r="Z75" s="202"/>
      <c r="AA75" s="202"/>
      <c r="AB75" s="373" t="str">
        <f>+U75</f>
        <v>2- GASTOS VARIABLES</v>
      </c>
      <c r="AC75" s="202"/>
      <c r="AD75" s="202"/>
      <c r="AE75" s="202"/>
      <c r="AG75" s="373" t="str">
        <f>+AB75</f>
        <v>2- GASTOS VARIABLES</v>
      </c>
      <c r="AH75" s="202"/>
      <c r="AI75" s="202"/>
      <c r="AJ75" s="202"/>
      <c r="AL75" s="373" t="str">
        <f>+AG75</f>
        <v>2- GASTOS VARIABLES</v>
      </c>
      <c r="AM75" s="202"/>
      <c r="AN75" s="202"/>
      <c r="AO75" s="202"/>
      <c r="AQ75" s="373" t="str">
        <f>+AL75</f>
        <v>2- GASTOS VARIABLES</v>
      </c>
      <c r="AR75" s="202"/>
      <c r="AS75" s="202"/>
      <c r="AT75" s="202"/>
      <c r="AU75" s="202"/>
      <c r="AV75" s="202"/>
      <c r="AW75" s="202"/>
    </row>
    <row r="76" spans="1:49" ht="12.75">
      <c r="A76" s="232"/>
      <c r="B76" s="107" t="s">
        <v>639</v>
      </c>
      <c r="C76" s="496" t="s">
        <v>640</v>
      </c>
      <c r="E76" s="187"/>
      <c r="F76" s="232"/>
      <c r="G76" s="107" t="s">
        <v>639</v>
      </c>
      <c r="H76" s="496" t="s">
        <v>640</v>
      </c>
      <c r="I76" s="197"/>
      <c r="K76" s="232"/>
      <c r="L76" s="107" t="s">
        <v>639</v>
      </c>
      <c r="M76" s="496" t="s">
        <v>640</v>
      </c>
      <c r="N76" s="197"/>
      <c r="P76" s="232"/>
      <c r="Q76" s="107" t="s">
        <v>639</v>
      </c>
      <c r="R76" s="496" t="s">
        <v>640</v>
      </c>
      <c r="S76" s="197"/>
      <c r="U76" s="232"/>
      <c r="V76" s="107" t="s">
        <v>639</v>
      </c>
      <c r="W76" s="496" t="s">
        <v>640</v>
      </c>
      <c r="X76" s="197"/>
      <c r="Y76" s="197"/>
      <c r="Z76" s="197"/>
      <c r="AA76" s="197"/>
      <c r="AB76" s="232"/>
      <c r="AC76" s="107" t="s">
        <v>639</v>
      </c>
      <c r="AD76" s="496" t="s">
        <v>640</v>
      </c>
      <c r="AE76" s="197"/>
      <c r="AG76" s="232"/>
      <c r="AH76" s="107" t="s">
        <v>639</v>
      </c>
      <c r="AI76" s="496" t="s">
        <v>640</v>
      </c>
      <c r="AJ76" s="197"/>
      <c r="AL76" s="232"/>
      <c r="AM76" s="107" t="s">
        <v>639</v>
      </c>
      <c r="AN76" s="496" t="s">
        <v>640</v>
      </c>
      <c r="AO76" s="197"/>
      <c r="AQ76" s="232"/>
      <c r="AR76" s="107" t="s">
        <v>639</v>
      </c>
      <c r="AS76" s="496" t="s">
        <v>640</v>
      </c>
      <c r="AT76" s="197"/>
      <c r="AU76" s="197"/>
      <c r="AV76" s="197"/>
      <c r="AW76" s="197"/>
    </row>
    <row r="77" spans="1:49" ht="12.75">
      <c r="A77" s="233" t="s">
        <v>641</v>
      </c>
      <c r="B77" s="400">
        <v>0</v>
      </c>
      <c r="C77" s="489">
        <f>B77/100*B89</f>
        <v>0</v>
      </c>
      <c r="E77" s="187"/>
      <c r="F77" s="233" t="s">
        <v>641</v>
      </c>
      <c r="G77" s="400">
        <v>0</v>
      </c>
      <c r="H77" s="489">
        <f>G77/100*G89</f>
        <v>0</v>
      </c>
      <c r="I77" s="197"/>
      <c r="K77" s="233" t="s">
        <v>641</v>
      </c>
      <c r="L77" s="400">
        <v>0</v>
      </c>
      <c r="M77" s="489">
        <f>L77/100*L89</f>
        <v>0</v>
      </c>
      <c r="N77" s="197"/>
      <c r="P77" s="233" t="s">
        <v>641</v>
      </c>
      <c r="Q77" s="400">
        <v>0</v>
      </c>
      <c r="R77" s="489">
        <f>Q77/100*Q89</f>
        <v>0</v>
      </c>
      <c r="S77" s="197"/>
      <c r="U77" s="233" t="s">
        <v>641</v>
      </c>
      <c r="V77" s="400">
        <v>0</v>
      </c>
      <c r="W77" s="489">
        <f>V77/100*V89</f>
        <v>0</v>
      </c>
      <c r="X77" s="197"/>
      <c r="Y77" s="197"/>
      <c r="Z77" s="197"/>
      <c r="AA77" s="197"/>
      <c r="AB77" s="233" t="s">
        <v>641</v>
      </c>
      <c r="AC77" s="400">
        <v>0</v>
      </c>
      <c r="AD77" s="489">
        <f>AC77/100*AC89</f>
        <v>0</v>
      </c>
      <c r="AE77" s="197"/>
      <c r="AG77" s="233" t="s">
        <v>641</v>
      </c>
      <c r="AH77" s="400">
        <v>0</v>
      </c>
      <c r="AI77" s="489">
        <f>AH77/100*AH89</f>
        <v>0</v>
      </c>
      <c r="AJ77" s="197"/>
      <c r="AL77" s="233" t="s">
        <v>641</v>
      </c>
      <c r="AM77" s="400">
        <v>0</v>
      </c>
      <c r="AN77" s="489">
        <f>AM77/100*AM89</f>
        <v>0</v>
      </c>
      <c r="AO77" s="197"/>
      <c r="AQ77" s="233" t="s">
        <v>641</v>
      </c>
      <c r="AR77" s="400">
        <v>0</v>
      </c>
      <c r="AS77" s="489">
        <f>AR77/100*AR89</f>
        <v>0</v>
      </c>
      <c r="AT77" s="197"/>
      <c r="AU77" s="197"/>
      <c r="AV77" s="197"/>
      <c r="AW77" s="197"/>
    </row>
    <row r="78" spans="1:49" ht="12.75">
      <c r="A78" s="233" t="s">
        <v>642</v>
      </c>
      <c r="B78" s="201"/>
      <c r="C78" s="489"/>
      <c r="E78" s="187"/>
      <c r="F78" s="233" t="s">
        <v>642</v>
      </c>
      <c r="G78" s="201"/>
      <c r="H78" s="489"/>
      <c r="I78" s="197"/>
      <c r="K78" s="233" t="s">
        <v>642</v>
      </c>
      <c r="L78" s="400"/>
      <c r="M78" s="489"/>
      <c r="N78" s="197"/>
      <c r="P78" s="233" t="s">
        <v>642</v>
      </c>
      <c r="Q78" s="201"/>
      <c r="R78" s="489"/>
      <c r="S78" s="197"/>
      <c r="U78" s="233" t="s">
        <v>642</v>
      </c>
      <c r="V78" s="201"/>
      <c r="W78" s="489"/>
      <c r="X78" s="197"/>
      <c r="Y78" s="197"/>
      <c r="Z78" s="197"/>
      <c r="AA78" s="197"/>
      <c r="AB78" s="233" t="s">
        <v>642</v>
      </c>
      <c r="AC78" s="400">
        <v>0</v>
      </c>
      <c r="AD78" s="489"/>
      <c r="AE78" s="197"/>
      <c r="AG78" s="233" t="s">
        <v>642</v>
      </c>
      <c r="AH78" s="400"/>
      <c r="AI78" s="489"/>
      <c r="AJ78" s="197"/>
      <c r="AL78" s="233" t="s">
        <v>642</v>
      </c>
      <c r="AM78" s="201"/>
      <c r="AN78" s="489"/>
      <c r="AO78" s="197"/>
      <c r="AQ78" s="233" t="s">
        <v>642</v>
      </c>
      <c r="AR78" s="201"/>
      <c r="AS78" s="489"/>
      <c r="AT78" s="197"/>
      <c r="AU78" s="197"/>
      <c r="AV78" s="197"/>
      <c r="AW78" s="197"/>
    </row>
    <row r="79" spans="1:49" ht="12.75">
      <c r="A79" s="233" t="s">
        <v>643</v>
      </c>
      <c r="B79" s="400">
        <v>0</v>
      </c>
      <c r="C79" s="489">
        <f>B79/100*B89</f>
        <v>0</v>
      </c>
      <c r="E79" s="187"/>
      <c r="F79" s="233" t="s">
        <v>643</v>
      </c>
      <c r="G79" s="400">
        <v>0</v>
      </c>
      <c r="H79" s="489">
        <f>G79/100*G89</f>
        <v>0</v>
      </c>
      <c r="I79" s="197"/>
      <c r="K79" s="233" t="s">
        <v>643</v>
      </c>
      <c r="L79" s="400">
        <v>0</v>
      </c>
      <c r="M79" s="489">
        <f>L79/100*L89</f>
        <v>0</v>
      </c>
      <c r="N79" s="197"/>
      <c r="P79" s="233" t="s">
        <v>643</v>
      </c>
      <c r="Q79" s="400">
        <v>0</v>
      </c>
      <c r="R79" s="489">
        <f>Q79/100*Q89</f>
        <v>0</v>
      </c>
      <c r="S79" s="197"/>
      <c r="U79" s="233" t="s">
        <v>643</v>
      </c>
      <c r="V79" s="400">
        <v>0</v>
      </c>
      <c r="W79" s="489">
        <f>V79/100*V89</f>
        <v>0</v>
      </c>
      <c r="X79" s="197"/>
      <c r="Y79" s="197"/>
      <c r="Z79" s="197"/>
      <c r="AA79" s="197"/>
      <c r="AB79" s="233" t="s">
        <v>643</v>
      </c>
      <c r="AC79" s="400">
        <v>0</v>
      </c>
      <c r="AD79" s="489">
        <f>AC79/100*AC89</f>
        <v>0</v>
      </c>
      <c r="AE79" s="197"/>
      <c r="AG79" s="233" t="s">
        <v>643</v>
      </c>
      <c r="AH79" s="400">
        <v>0</v>
      </c>
      <c r="AI79" s="489">
        <f>AH79/100*AH89</f>
        <v>0</v>
      </c>
      <c r="AJ79" s="197"/>
      <c r="AL79" s="233" t="s">
        <v>643</v>
      </c>
      <c r="AM79" s="400">
        <v>0</v>
      </c>
      <c r="AN79" s="489">
        <f>AM79/100*AM89</f>
        <v>0</v>
      </c>
      <c r="AO79" s="197"/>
      <c r="AQ79" s="233" t="s">
        <v>643</v>
      </c>
      <c r="AR79" s="400">
        <v>0</v>
      </c>
      <c r="AS79" s="489">
        <f>AR79/100*AR89</f>
        <v>0</v>
      </c>
      <c r="AT79" s="197"/>
      <c r="AU79" s="197"/>
      <c r="AV79" s="197"/>
      <c r="AW79" s="197"/>
    </row>
    <row r="80" spans="1:49" ht="12.75">
      <c r="A80" s="233" t="s">
        <v>644</v>
      </c>
      <c r="B80" s="400">
        <v>0</v>
      </c>
      <c r="C80" s="489">
        <f>B80/100*B89</f>
        <v>0</v>
      </c>
      <c r="E80" s="187"/>
      <c r="F80" s="233" t="s">
        <v>644</v>
      </c>
      <c r="G80" s="400">
        <v>0</v>
      </c>
      <c r="H80" s="489">
        <f>G80/100*G89</f>
        <v>0</v>
      </c>
      <c r="I80" s="197"/>
      <c r="K80" s="233" t="s">
        <v>644</v>
      </c>
      <c r="L80" s="400">
        <v>0</v>
      </c>
      <c r="M80" s="489">
        <f>L80/100*L89</f>
        <v>0</v>
      </c>
      <c r="N80" s="197"/>
      <c r="P80" s="233" t="s">
        <v>644</v>
      </c>
      <c r="Q80" s="400">
        <v>0</v>
      </c>
      <c r="R80" s="489">
        <f>Q80/100*Q89</f>
        <v>0</v>
      </c>
      <c r="S80" s="197"/>
      <c r="U80" s="233" t="s">
        <v>644</v>
      </c>
      <c r="V80" s="400">
        <v>0</v>
      </c>
      <c r="W80" s="489">
        <f>V80/100*V89</f>
        <v>0</v>
      </c>
      <c r="X80" s="197"/>
      <c r="Y80" s="197"/>
      <c r="Z80" s="197"/>
      <c r="AA80" s="197"/>
      <c r="AB80" s="233" t="s">
        <v>644</v>
      </c>
      <c r="AC80" s="400">
        <v>0</v>
      </c>
      <c r="AD80" s="489">
        <f>AC80/100*AC89</f>
        <v>0</v>
      </c>
      <c r="AE80" s="197"/>
      <c r="AG80" s="233" t="s">
        <v>644</v>
      </c>
      <c r="AH80" s="400">
        <v>0</v>
      </c>
      <c r="AI80" s="489">
        <f>AH80/100*AH89</f>
        <v>0</v>
      </c>
      <c r="AJ80" s="197"/>
      <c r="AL80" s="233" t="s">
        <v>644</v>
      </c>
      <c r="AM80" s="400">
        <v>0</v>
      </c>
      <c r="AN80" s="489">
        <f>AM80/100*AM89</f>
        <v>0</v>
      </c>
      <c r="AO80" s="197"/>
      <c r="AQ80" s="233" t="s">
        <v>644</v>
      </c>
      <c r="AR80" s="400">
        <v>0</v>
      </c>
      <c r="AS80" s="489">
        <f>AR80/100*AR89</f>
        <v>0</v>
      </c>
      <c r="AT80" s="197"/>
      <c r="AU80" s="197"/>
      <c r="AV80" s="197"/>
      <c r="AW80" s="197"/>
    </row>
    <row r="81" spans="1:49" ht="12.75">
      <c r="A81" s="233" t="s">
        <v>645</v>
      </c>
      <c r="B81" s="400">
        <v>0</v>
      </c>
      <c r="C81" s="489">
        <f>B81/100*B89</f>
        <v>0</v>
      </c>
      <c r="E81" s="187"/>
      <c r="F81" s="233" t="s">
        <v>645</v>
      </c>
      <c r="G81" s="400">
        <v>0</v>
      </c>
      <c r="H81" s="489">
        <f>G81/100*G89</f>
        <v>0</v>
      </c>
      <c r="I81" s="197"/>
      <c r="K81" s="233" t="s">
        <v>645</v>
      </c>
      <c r="L81" s="400">
        <v>0</v>
      </c>
      <c r="M81" s="489">
        <f>L81/100*L89</f>
        <v>0</v>
      </c>
      <c r="N81" s="197"/>
      <c r="P81" s="233" t="s">
        <v>645</v>
      </c>
      <c r="Q81" s="400">
        <v>0</v>
      </c>
      <c r="R81" s="489">
        <f>Q81/100*Q89</f>
        <v>0</v>
      </c>
      <c r="S81" s="197"/>
      <c r="U81" s="233" t="s">
        <v>645</v>
      </c>
      <c r="V81" s="400">
        <v>0</v>
      </c>
      <c r="W81" s="489">
        <f>V81/100*V89</f>
        <v>0</v>
      </c>
      <c r="X81" s="197"/>
      <c r="Y81" s="197"/>
      <c r="Z81" s="197"/>
      <c r="AA81" s="197"/>
      <c r="AB81" s="233" t="s">
        <v>645</v>
      </c>
      <c r="AC81" s="400">
        <v>0</v>
      </c>
      <c r="AD81" s="489">
        <f>AC81/100*AC89</f>
        <v>0</v>
      </c>
      <c r="AE81" s="197"/>
      <c r="AG81" s="233" t="s">
        <v>645</v>
      </c>
      <c r="AH81" s="400">
        <v>0</v>
      </c>
      <c r="AI81" s="489">
        <f>AH81/100*AH89</f>
        <v>0</v>
      </c>
      <c r="AJ81" s="197"/>
      <c r="AL81" s="233" t="s">
        <v>645</v>
      </c>
      <c r="AM81" s="400">
        <v>0</v>
      </c>
      <c r="AN81" s="489">
        <f>AM81/100*AM89</f>
        <v>0</v>
      </c>
      <c r="AO81" s="197"/>
      <c r="AQ81" s="233" t="s">
        <v>645</v>
      </c>
      <c r="AR81" s="400">
        <v>0</v>
      </c>
      <c r="AS81" s="489">
        <f>AR81/100*AR89</f>
        <v>0</v>
      </c>
      <c r="AT81" s="197"/>
      <c r="AU81" s="197"/>
      <c r="AV81" s="197"/>
      <c r="AW81" s="197"/>
    </row>
    <row r="82" spans="1:49" ht="12.75">
      <c r="A82" s="234" t="s">
        <v>646</v>
      </c>
      <c r="B82" s="400">
        <v>0</v>
      </c>
      <c r="C82" s="489">
        <f>B82/100*B89</f>
        <v>0</v>
      </c>
      <c r="E82" s="187"/>
      <c r="F82" s="234" t="s">
        <v>646</v>
      </c>
      <c r="G82" s="400">
        <v>0</v>
      </c>
      <c r="H82" s="489">
        <f>G82/100*G89</f>
        <v>0</v>
      </c>
      <c r="I82" s="197"/>
      <c r="K82" s="234" t="s">
        <v>646</v>
      </c>
      <c r="L82" s="400">
        <v>0</v>
      </c>
      <c r="M82" s="489">
        <f>L82/100*L89</f>
        <v>0</v>
      </c>
      <c r="N82" s="197"/>
      <c r="P82" s="234" t="s">
        <v>646</v>
      </c>
      <c r="Q82" s="400">
        <v>0</v>
      </c>
      <c r="R82" s="489">
        <f>Q82/100*Q89</f>
        <v>0</v>
      </c>
      <c r="S82" s="197"/>
      <c r="U82" s="234" t="s">
        <v>646</v>
      </c>
      <c r="V82" s="400">
        <v>0</v>
      </c>
      <c r="W82" s="489">
        <f>V82/100*V89</f>
        <v>0</v>
      </c>
      <c r="X82" s="197"/>
      <c r="Y82" s="197"/>
      <c r="Z82" s="197"/>
      <c r="AA82" s="197"/>
      <c r="AB82" s="234" t="s">
        <v>646</v>
      </c>
      <c r="AC82" s="400">
        <v>0</v>
      </c>
      <c r="AD82" s="489">
        <f>AC82/100*AC89</f>
        <v>0</v>
      </c>
      <c r="AE82" s="197"/>
      <c r="AG82" s="234" t="s">
        <v>646</v>
      </c>
      <c r="AH82" s="400">
        <v>0</v>
      </c>
      <c r="AI82" s="489">
        <f>AH82/100*AH89</f>
        <v>0</v>
      </c>
      <c r="AJ82" s="197"/>
      <c r="AL82" s="234" t="s">
        <v>646</v>
      </c>
      <c r="AM82" s="400">
        <v>0</v>
      </c>
      <c r="AN82" s="489">
        <f>AM82/100*AM89</f>
        <v>0</v>
      </c>
      <c r="AO82" s="197"/>
      <c r="AQ82" s="234" t="s">
        <v>646</v>
      </c>
      <c r="AR82" s="400">
        <v>0</v>
      </c>
      <c r="AS82" s="489">
        <f>AR82/100*AR89</f>
        <v>0</v>
      </c>
      <c r="AT82" s="197"/>
      <c r="AU82" s="197"/>
      <c r="AV82" s="197"/>
      <c r="AW82" s="197"/>
    </row>
    <row r="83" spans="1:49" ht="12.75">
      <c r="A83" s="233" t="s">
        <v>647</v>
      </c>
      <c r="B83" s="400">
        <v>0</v>
      </c>
      <c r="C83" s="489">
        <f>B83/100*B89</f>
        <v>0</v>
      </c>
      <c r="E83" s="187"/>
      <c r="F83" s="233" t="s">
        <v>647</v>
      </c>
      <c r="G83" s="400">
        <v>0</v>
      </c>
      <c r="H83" s="489">
        <f>G83/100*G89</f>
        <v>0</v>
      </c>
      <c r="I83" s="197"/>
      <c r="K83" s="233" t="s">
        <v>647</v>
      </c>
      <c r="L83" s="400">
        <v>0</v>
      </c>
      <c r="M83" s="489">
        <f>L83/100*L89</f>
        <v>0</v>
      </c>
      <c r="N83" s="197"/>
      <c r="P83" s="233" t="s">
        <v>647</v>
      </c>
      <c r="Q83" s="400">
        <v>0</v>
      </c>
      <c r="R83" s="489">
        <f>Q83/100*Q89</f>
        <v>0</v>
      </c>
      <c r="S83" s="197"/>
      <c r="U83" s="233" t="s">
        <v>647</v>
      </c>
      <c r="V83" s="400">
        <v>0</v>
      </c>
      <c r="W83" s="489">
        <f>V83/100*V89</f>
        <v>0</v>
      </c>
      <c r="X83" s="197"/>
      <c r="Y83" s="197"/>
      <c r="Z83" s="197"/>
      <c r="AA83" s="197"/>
      <c r="AB83" s="233" t="s">
        <v>647</v>
      </c>
      <c r="AC83" s="400">
        <v>0</v>
      </c>
      <c r="AD83" s="489">
        <f>AC83/100*AC89</f>
        <v>0</v>
      </c>
      <c r="AE83" s="197"/>
      <c r="AG83" s="233" t="s">
        <v>647</v>
      </c>
      <c r="AH83" s="400">
        <v>0</v>
      </c>
      <c r="AI83" s="489">
        <f>AH83/100*AH89</f>
        <v>0</v>
      </c>
      <c r="AJ83" s="197"/>
      <c r="AL83" s="233" t="s">
        <v>647</v>
      </c>
      <c r="AM83" s="400">
        <v>0</v>
      </c>
      <c r="AN83" s="489">
        <f>AM83/100*AM89</f>
        <v>0</v>
      </c>
      <c r="AO83" s="197"/>
      <c r="AQ83" s="233" t="s">
        <v>647</v>
      </c>
      <c r="AR83" s="400">
        <v>0</v>
      </c>
      <c r="AS83" s="489">
        <f>AR83/100*AR89</f>
        <v>0</v>
      </c>
      <c r="AT83" s="197"/>
      <c r="AU83" s="197"/>
      <c r="AV83" s="197"/>
      <c r="AW83" s="197"/>
    </row>
    <row r="84" spans="1:49" ht="12.75">
      <c r="A84" s="87" t="s">
        <v>648</v>
      </c>
      <c r="B84" s="403">
        <v>0</v>
      </c>
      <c r="C84" s="490">
        <f>B84/100*B89</f>
        <v>0</v>
      </c>
      <c r="E84" s="187"/>
      <c r="F84" s="87" t="s">
        <v>648</v>
      </c>
      <c r="G84" s="403">
        <v>0</v>
      </c>
      <c r="H84" s="490">
        <f>G84/100*G89</f>
        <v>0</v>
      </c>
      <c r="I84" s="197"/>
      <c r="K84" s="87" t="s">
        <v>648</v>
      </c>
      <c r="L84" s="403">
        <v>0</v>
      </c>
      <c r="M84" s="490">
        <f>L84/100*L89</f>
        <v>0</v>
      </c>
      <c r="N84" s="197"/>
      <c r="P84" s="87" t="s">
        <v>648</v>
      </c>
      <c r="Q84" s="403">
        <v>0</v>
      </c>
      <c r="R84" s="490">
        <f>Q84/100*Q89</f>
        <v>0</v>
      </c>
      <c r="S84" s="197"/>
      <c r="U84" s="87" t="s">
        <v>648</v>
      </c>
      <c r="V84" s="403">
        <v>0</v>
      </c>
      <c r="W84" s="490">
        <f>V84/100*V89</f>
        <v>0</v>
      </c>
      <c r="X84" s="197"/>
      <c r="Y84" s="197"/>
      <c r="Z84" s="197"/>
      <c r="AA84" s="197"/>
      <c r="AB84" s="87" t="s">
        <v>648</v>
      </c>
      <c r="AC84" s="403">
        <v>0</v>
      </c>
      <c r="AD84" s="490">
        <f>AC84/100*AC89</f>
        <v>0</v>
      </c>
      <c r="AE84" s="197"/>
      <c r="AG84" s="87" t="s">
        <v>648</v>
      </c>
      <c r="AH84" s="403">
        <v>0</v>
      </c>
      <c r="AI84" s="490">
        <f>AH84/100*AH89</f>
        <v>0</v>
      </c>
      <c r="AJ84" s="197"/>
      <c r="AL84" s="87" t="s">
        <v>648</v>
      </c>
      <c r="AM84" s="403">
        <v>0</v>
      </c>
      <c r="AN84" s="490">
        <f>AM84/100*AM89</f>
        <v>0</v>
      </c>
      <c r="AO84" s="197"/>
      <c r="AQ84" s="87" t="s">
        <v>648</v>
      </c>
      <c r="AR84" s="403">
        <v>0</v>
      </c>
      <c r="AS84" s="490">
        <f>AR84/100*AR89</f>
        <v>0</v>
      </c>
      <c r="AT84" s="197"/>
      <c r="AU84" s="197"/>
      <c r="AV84" s="197"/>
      <c r="AW84" s="197"/>
    </row>
    <row r="85" spans="1:49" ht="12.75">
      <c r="A85" s="202"/>
      <c r="B85" s="202"/>
      <c r="C85" s="497"/>
      <c r="D85" s="209"/>
      <c r="E85" s="187"/>
      <c r="F85" s="202"/>
      <c r="G85" s="202"/>
      <c r="H85" s="202"/>
      <c r="I85" s="209"/>
      <c r="K85" s="202"/>
      <c r="L85" s="202"/>
      <c r="M85" s="497"/>
      <c r="N85" s="209"/>
      <c r="P85" s="202"/>
      <c r="Q85" s="202"/>
      <c r="R85" s="497"/>
      <c r="S85" s="209"/>
      <c r="U85" s="202"/>
      <c r="V85" s="202"/>
      <c r="W85" s="497"/>
      <c r="X85" s="209"/>
      <c r="Y85" s="209"/>
      <c r="Z85" s="209"/>
      <c r="AA85" s="209"/>
      <c r="AB85" s="202"/>
      <c r="AC85" s="202"/>
      <c r="AD85" s="497"/>
      <c r="AE85" s="209"/>
      <c r="AG85" s="202"/>
      <c r="AH85" s="202"/>
      <c r="AI85" s="497"/>
      <c r="AJ85" s="209"/>
      <c r="AL85" s="202"/>
      <c r="AM85" s="202"/>
      <c r="AN85" s="497"/>
      <c r="AO85" s="209"/>
      <c r="AQ85" s="202"/>
      <c r="AR85" s="202"/>
      <c r="AS85" s="497"/>
      <c r="AT85" s="209"/>
      <c r="AU85" s="209"/>
      <c r="AV85" s="209"/>
      <c r="AW85" s="209"/>
    </row>
    <row r="86" spans="1:49" ht="12.75">
      <c r="A86" s="231" t="s">
        <v>649</v>
      </c>
      <c r="B86" s="217"/>
      <c r="C86" s="493">
        <f>SUM(C77:C84)</f>
        <v>0</v>
      </c>
      <c r="E86" s="187"/>
      <c r="F86" s="231" t="s">
        <v>650</v>
      </c>
      <c r="G86" s="217"/>
      <c r="H86" s="493">
        <f>SUM(H77:H84)</f>
        <v>0</v>
      </c>
      <c r="I86" s="197"/>
      <c r="K86" s="231" t="s">
        <v>650</v>
      </c>
      <c r="L86" s="217"/>
      <c r="M86" s="493">
        <f>SUM(M77:M84)</f>
        <v>0</v>
      </c>
      <c r="N86" s="197"/>
      <c r="P86" s="231" t="s">
        <v>650</v>
      </c>
      <c r="Q86" s="217"/>
      <c r="R86" s="493">
        <f>SUM(R77:R84)</f>
        <v>0</v>
      </c>
      <c r="S86" s="197"/>
      <c r="U86" s="231" t="s">
        <v>650</v>
      </c>
      <c r="V86" s="217"/>
      <c r="W86" s="493">
        <f>SUM(W77:W84)</f>
        <v>0</v>
      </c>
      <c r="X86" s="197"/>
      <c r="Y86" s="197"/>
      <c r="Z86" s="197"/>
      <c r="AA86" s="197"/>
      <c r="AB86" s="231" t="s">
        <v>650</v>
      </c>
      <c r="AC86" s="217"/>
      <c r="AD86" s="493">
        <f>SUM(AD77:AD84)</f>
        <v>0</v>
      </c>
      <c r="AE86" s="197"/>
      <c r="AG86" s="231" t="s">
        <v>650</v>
      </c>
      <c r="AH86" s="217"/>
      <c r="AI86" s="493">
        <f>SUM(AI77:AI84)</f>
        <v>0</v>
      </c>
      <c r="AJ86" s="197"/>
      <c r="AL86" s="231" t="s">
        <v>650</v>
      </c>
      <c r="AM86" s="217"/>
      <c r="AN86" s="493">
        <f>SUM(AN77:AN84)</f>
        <v>0</v>
      </c>
      <c r="AO86" s="197"/>
      <c r="AQ86" s="231" t="s">
        <v>650</v>
      </c>
      <c r="AR86" s="217"/>
      <c r="AS86" s="493">
        <f>SUM(AS77:AS84)</f>
        <v>0</v>
      </c>
      <c r="AT86" s="197"/>
      <c r="AU86" s="197"/>
      <c r="AV86" s="197"/>
      <c r="AW86" s="197"/>
    </row>
    <row r="87" spans="1:49" ht="12.75">
      <c r="A87" s="202"/>
      <c r="B87" s="202"/>
      <c r="C87" s="202"/>
      <c r="D87" s="202"/>
      <c r="E87" s="187"/>
      <c r="F87" s="202"/>
      <c r="G87" s="202"/>
      <c r="H87" s="202"/>
      <c r="I87" s="202"/>
      <c r="K87" s="202"/>
      <c r="L87" s="202"/>
      <c r="M87" s="497"/>
      <c r="N87" s="202"/>
      <c r="P87" s="202"/>
      <c r="Q87" s="202"/>
      <c r="R87" s="202"/>
      <c r="S87" s="202"/>
      <c r="U87" s="202"/>
      <c r="V87" s="202"/>
      <c r="W87" s="497"/>
      <c r="X87" s="202"/>
      <c r="Y87" s="202"/>
      <c r="Z87" s="202"/>
      <c r="AA87" s="202"/>
      <c r="AB87" s="202"/>
      <c r="AC87" s="202"/>
      <c r="AD87" s="202"/>
      <c r="AE87" s="202"/>
      <c r="AG87" s="202"/>
      <c r="AH87" s="202"/>
      <c r="AI87" s="497"/>
      <c r="AJ87" s="202"/>
      <c r="AL87" s="202"/>
      <c r="AM87" s="202"/>
      <c r="AN87" s="202"/>
      <c r="AO87" s="202"/>
      <c r="AQ87" s="202"/>
      <c r="AR87" s="202"/>
      <c r="AS87" s="497"/>
      <c r="AT87" s="202"/>
      <c r="AU87" s="202"/>
      <c r="AV87" s="202"/>
      <c r="AW87" s="202"/>
    </row>
    <row r="88" spans="1:49" ht="12.75">
      <c r="A88" s="373" t="s">
        <v>651</v>
      </c>
      <c r="B88" s="202"/>
      <c r="C88" s="202"/>
      <c r="D88" s="166"/>
      <c r="E88" s="187"/>
      <c r="F88" s="373" t="s">
        <v>651</v>
      </c>
      <c r="G88" s="202"/>
      <c r="H88" s="202"/>
      <c r="I88" s="166"/>
      <c r="K88" s="373" t="s">
        <v>651</v>
      </c>
      <c r="L88" s="202"/>
      <c r="M88" s="202"/>
      <c r="N88" s="166"/>
      <c r="P88" s="373" t="s">
        <v>651</v>
      </c>
      <c r="Q88" s="202"/>
      <c r="R88" s="202"/>
      <c r="S88" s="166"/>
      <c r="U88" s="373" t="s">
        <v>651</v>
      </c>
      <c r="V88" s="202"/>
      <c r="W88" s="497"/>
      <c r="X88" s="166"/>
      <c r="Y88" s="166"/>
      <c r="Z88" s="166"/>
      <c r="AA88" s="166"/>
      <c r="AB88" s="373" t="s">
        <v>651</v>
      </c>
      <c r="AC88" s="202"/>
      <c r="AD88" s="202"/>
      <c r="AE88" s="166"/>
      <c r="AG88" s="373" t="s">
        <v>651</v>
      </c>
      <c r="AH88" s="202"/>
      <c r="AI88" s="202"/>
      <c r="AJ88" s="166"/>
      <c r="AL88" s="373" t="s">
        <v>651</v>
      </c>
      <c r="AM88" s="202"/>
      <c r="AN88" s="202"/>
      <c r="AO88" s="166"/>
      <c r="AQ88" s="373" t="s">
        <v>651</v>
      </c>
      <c r="AR88" s="202"/>
      <c r="AS88" s="497"/>
      <c r="AT88" s="166"/>
      <c r="AU88" s="166"/>
      <c r="AV88" s="166"/>
      <c r="AW88" s="166"/>
    </row>
    <row r="89" spans="1:49" ht="12.75">
      <c r="A89" s="106" t="s">
        <v>652</v>
      </c>
      <c r="B89" s="407">
        <v>0</v>
      </c>
      <c r="E89" s="187"/>
      <c r="F89" s="106" t="s">
        <v>652</v>
      </c>
      <c r="G89" s="407">
        <v>0</v>
      </c>
      <c r="H89" s="197"/>
      <c r="I89" s="197"/>
      <c r="K89" s="106" t="s">
        <v>652</v>
      </c>
      <c r="L89" s="405">
        <v>0</v>
      </c>
      <c r="M89" s="197"/>
      <c r="N89" s="197"/>
      <c r="P89" s="106" t="s">
        <v>652</v>
      </c>
      <c r="Q89" s="407">
        <v>0</v>
      </c>
      <c r="R89" s="197"/>
      <c r="S89" s="197"/>
      <c r="U89" s="106" t="s">
        <v>652</v>
      </c>
      <c r="V89" s="407">
        <v>0</v>
      </c>
      <c r="W89" s="502"/>
      <c r="X89" s="197"/>
      <c r="Y89" s="197"/>
      <c r="Z89" s="197"/>
      <c r="AA89" s="197"/>
      <c r="AB89" s="106" t="s">
        <v>652</v>
      </c>
      <c r="AC89" s="407">
        <v>0</v>
      </c>
      <c r="AD89" s="197"/>
      <c r="AE89" s="197"/>
      <c r="AG89" s="106" t="s">
        <v>652</v>
      </c>
      <c r="AH89" s="405">
        <v>0</v>
      </c>
      <c r="AI89" s="197"/>
      <c r="AJ89" s="197"/>
      <c r="AL89" s="106" t="s">
        <v>652</v>
      </c>
      <c r="AM89" s="407">
        <v>0</v>
      </c>
      <c r="AN89" s="197"/>
      <c r="AO89" s="197"/>
      <c r="AQ89" s="106" t="s">
        <v>652</v>
      </c>
      <c r="AR89" s="407">
        <v>0</v>
      </c>
      <c r="AS89" s="502"/>
      <c r="AT89" s="197"/>
      <c r="AU89" s="197"/>
      <c r="AV89" s="197"/>
      <c r="AW89" s="197"/>
    </row>
    <row r="90" spans="1:49" ht="12.75">
      <c r="A90" s="87" t="s">
        <v>653</v>
      </c>
      <c r="B90" s="408">
        <v>0</v>
      </c>
      <c r="E90" s="187"/>
      <c r="F90" s="87" t="s">
        <v>653</v>
      </c>
      <c r="G90" s="408">
        <v>0</v>
      </c>
      <c r="H90" s="197"/>
      <c r="I90" s="197"/>
      <c r="K90" s="87" t="s">
        <v>653</v>
      </c>
      <c r="L90" s="406">
        <v>0</v>
      </c>
      <c r="M90" s="197"/>
      <c r="N90" s="197"/>
      <c r="P90" s="87" t="s">
        <v>653</v>
      </c>
      <c r="Q90" s="408">
        <v>0</v>
      </c>
      <c r="R90" s="197"/>
      <c r="S90" s="197"/>
      <c r="U90" s="87" t="s">
        <v>653</v>
      </c>
      <c r="V90" s="408">
        <v>0</v>
      </c>
      <c r="W90" s="502"/>
      <c r="X90" s="197"/>
      <c r="Y90" s="197"/>
      <c r="Z90" s="197"/>
      <c r="AA90" s="197"/>
      <c r="AB90" s="87" t="s">
        <v>653</v>
      </c>
      <c r="AC90" s="408">
        <v>0</v>
      </c>
      <c r="AD90" s="197"/>
      <c r="AE90" s="197"/>
      <c r="AG90" s="87" t="s">
        <v>653</v>
      </c>
      <c r="AH90" s="406">
        <v>0</v>
      </c>
      <c r="AI90" s="197"/>
      <c r="AJ90" s="197"/>
      <c r="AL90" s="87" t="s">
        <v>653</v>
      </c>
      <c r="AM90" s="408">
        <v>0</v>
      </c>
      <c r="AN90" s="197"/>
      <c r="AO90" s="197"/>
      <c r="AQ90" s="87" t="s">
        <v>653</v>
      </c>
      <c r="AR90" s="408">
        <v>0</v>
      </c>
      <c r="AS90" s="502"/>
      <c r="AT90" s="197"/>
      <c r="AU90" s="197"/>
      <c r="AV90" s="197"/>
      <c r="AW90" s="197"/>
    </row>
    <row r="91" spans="1:49" ht="12.75">
      <c r="A91" s="98"/>
      <c r="B91" s="202"/>
      <c r="C91" s="209"/>
      <c r="E91" s="187"/>
      <c r="F91" s="98"/>
      <c r="G91" s="202"/>
      <c r="H91" s="209"/>
      <c r="I91" s="197"/>
      <c r="K91" s="98"/>
      <c r="L91" s="202"/>
      <c r="M91" s="209"/>
      <c r="N91" s="197"/>
      <c r="P91" s="98"/>
      <c r="Q91" s="202"/>
      <c r="R91" s="209"/>
      <c r="S91" s="197"/>
      <c r="U91" s="98"/>
      <c r="V91" s="202"/>
      <c r="W91" s="503"/>
      <c r="X91" s="197"/>
      <c r="Y91" s="197"/>
      <c r="Z91" s="197"/>
      <c r="AA91" s="197"/>
      <c r="AB91" s="98"/>
      <c r="AC91" s="202"/>
      <c r="AD91" s="209"/>
      <c r="AE91" s="197"/>
      <c r="AG91" s="98"/>
      <c r="AH91" s="202"/>
      <c r="AI91" s="209"/>
      <c r="AJ91" s="197"/>
      <c r="AL91" s="98"/>
      <c r="AM91" s="202"/>
      <c r="AN91" s="209"/>
      <c r="AO91" s="197"/>
      <c r="AQ91" s="98"/>
      <c r="AR91" s="202"/>
      <c r="AS91" s="503"/>
      <c r="AT91" s="197"/>
      <c r="AU91" s="197"/>
      <c r="AV91" s="197"/>
      <c r="AW91" s="197"/>
    </row>
    <row r="92" spans="1:49" ht="12.75">
      <c r="A92" s="373" t="s">
        <v>654</v>
      </c>
      <c r="B92" s="202"/>
      <c r="C92" s="202"/>
      <c r="E92" s="187"/>
      <c r="F92" s="373" t="s">
        <v>654</v>
      </c>
      <c r="G92" s="202"/>
      <c r="H92" s="202"/>
      <c r="I92" s="197"/>
      <c r="K92" s="373" t="s">
        <v>654</v>
      </c>
      <c r="L92" s="202"/>
      <c r="M92" s="202"/>
      <c r="N92" s="197"/>
      <c r="P92" s="373" t="s">
        <v>654</v>
      </c>
      <c r="Q92" s="202"/>
      <c r="R92" s="202"/>
      <c r="S92" s="197"/>
      <c r="U92" s="373" t="s">
        <v>654</v>
      </c>
      <c r="V92" s="202"/>
      <c r="W92" s="497"/>
      <c r="X92" s="197"/>
      <c r="Y92" s="197"/>
      <c r="Z92" s="197"/>
      <c r="AA92" s="197"/>
      <c r="AB92" s="373" t="s">
        <v>654</v>
      </c>
      <c r="AC92" s="202"/>
      <c r="AD92" s="202"/>
      <c r="AE92" s="197"/>
      <c r="AG92" s="373" t="s">
        <v>654</v>
      </c>
      <c r="AH92" s="202"/>
      <c r="AI92" s="202"/>
      <c r="AJ92" s="197"/>
      <c r="AL92" s="373" t="s">
        <v>654</v>
      </c>
      <c r="AM92" s="202"/>
      <c r="AN92" s="202"/>
      <c r="AO92" s="197"/>
      <c r="AQ92" s="373" t="s">
        <v>654</v>
      </c>
      <c r="AR92" s="202"/>
      <c r="AS92" s="497"/>
      <c r="AT92" s="197"/>
      <c r="AU92" s="197"/>
      <c r="AV92" s="197"/>
      <c r="AW92" s="197"/>
    </row>
    <row r="93" spans="1:49" ht="12.75">
      <c r="A93" s="202"/>
      <c r="B93" s="166"/>
      <c r="C93" s="166"/>
      <c r="E93" s="187"/>
      <c r="F93" s="202"/>
      <c r="G93" s="166"/>
      <c r="H93" s="166"/>
      <c r="I93" s="197"/>
      <c r="K93" s="202"/>
      <c r="L93" s="166"/>
      <c r="M93" s="166"/>
      <c r="N93" s="197"/>
      <c r="P93" s="202"/>
      <c r="Q93" s="166"/>
      <c r="R93" s="166"/>
      <c r="S93" s="197"/>
      <c r="U93" s="202"/>
      <c r="V93" s="166"/>
      <c r="W93" s="492"/>
      <c r="X93" s="197"/>
      <c r="Y93" s="197"/>
      <c r="Z93" s="197"/>
      <c r="AA93" s="197"/>
      <c r="AB93" s="202"/>
      <c r="AC93" s="166"/>
      <c r="AD93" s="166"/>
      <c r="AE93" s="197"/>
      <c r="AG93" s="202"/>
      <c r="AH93" s="166"/>
      <c r="AI93" s="166"/>
      <c r="AJ93" s="197"/>
      <c r="AL93" s="202"/>
      <c r="AM93" s="166"/>
      <c r="AN93" s="166"/>
      <c r="AO93" s="197"/>
      <c r="AQ93" s="202"/>
      <c r="AR93" s="166"/>
      <c r="AS93" s="492"/>
      <c r="AT93" s="197"/>
      <c r="AU93" s="197"/>
      <c r="AV93" s="197"/>
      <c r="AW93" s="197"/>
    </row>
    <row r="94" spans="1:49" ht="12.75">
      <c r="A94" s="106" t="s">
        <v>655</v>
      </c>
      <c r="B94" s="235" t="s">
        <v>656</v>
      </c>
      <c r="C94" s="289">
        <f>B89*B90</f>
        <v>0</v>
      </c>
      <c r="E94" s="187"/>
      <c r="F94" s="106" t="s">
        <v>655</v>
      </c>
      <c r="G94" s="235" t="s">
        <v>656</v>
      </c>
      <c r="H94" s="289">
        <f>G89*G90</f>
        <v>0</v>
      </c>
      <c r="I94" s="197"/>
      <c r="K94" s="106" t="s">
        <v>655</v>
      </c>
      <c r="L94" s="235" t="s">
        <v>656</v>
      </c>
      <c r="M94" s="289">
        <f>L89*L90</f>
        <v>0</v>
      </c>
      <c r="N94" s="197"/>
      <c r="P94" s="106" t="s">
        <v>655</v>
      </c>
      <c r="Q94" s="235" t="s">
        <v>656</v>
      </c>
      <c r="R94" s="289">
        <f>Q89*Q90</f>
        <v>0</v>
      </c>
      <c r="S94" s="197"/>
      <c r="U94" s="106" t="s">
        <v>655</v>
      </c>
      <c r="V94" s="235" t="s">
        <v>656</v>
      </c>
      <c r="W94" s="289">
        <f>V89*V90</f>
        <v>0</v>
      </c>
      <c r="X94" s="197"/>
      <c r="Y94" s="197"/>
      <c r="Z94" s="197"/>
      <c r="AA94" s="197"/>
      <c r="AB94" s="106" t="s">
        <v>655</v>
      </c>
      <c r="AC94" s="235" t="s">
        <v>656</v>
      </c>
      <c r="AD94" s="289">
        <f>AC89*AC90</f>
        <v>0</v>
      </c>
      <c r="AE94" s="197"/>
      <c r="AG94" s="106" t="s">
        <v>655</v>
      </c>
      <c r="AH94" s="235" t="s">
        <v>656</v>
      </c>
      <c r="AI94" s="289">
        <f>AH89*AH90</f>
        <v>0</v>
      </c>
      <c r="AJ94" s="197"/>
      <c r="AL94" s="106" t="s">
        <v>655</v>
      </c>
      <c r="AM94" s="235" t="s">
        <v>656</v>
      </c>
      <c r="AN94" s="289">
        <f>AM89*AM90</f>
        <v>0</v>
      </c>
      <c r="AO94" s="197"/>
      <c r="AQ94" s="106" t="s">
        <v>655</v>
      </c>
      <c r="AR94" s="235" t="s">
        <v>656</v>
      </c>
      <c r="AS94" s="289">
        <f>AR89*AR90</f>
        <v>0</v>
      </c>
      <c r="AT94" s="197"/>
      <c r="AU94" s="197"/>
      <c r="AV94" s="197"/>
      <c r="AW94" s="197"/>
    </row>
    <row r="95" spans="1:49" ht="12.75">
      <c r="A95" s="226"/>
      <c r="B95" s="166"/>
      <c r="C95" s="489"/>
      <c r="E95" s="187"/>
      <c r="F95" s="226"/>
      <c r="G95" s="166"/>
      <c r="H95" s="489"/>
      <c r="I95" s="197"/>
      <c r="K95" s="226"/>
      <c r="L95" s="166"/>
      <c r="M95" s="489"/>
      <c r="N95" s="197"/>
      <c r="P95" s="226"/>
      <c r="Q95" s="166"/>
      <c r="R95" s="489"/>
      <c r="S95" s="197"/>
      <c r="U95" s="226"/>
      <c r="V95" s="166"/>
      <c r="W95" s="489"/>
      <c r="X95" s="197"/>
      <c r="Y95" s="197"/>
      <c r="Z95" s="197"/>
      <c r="AA95" s="197"/>
      <c r="AB95" s="226"/>
      <c r="AC95" s="166"/>
      <c r="AD95" s="489"/>
      <c r="AE95" s="197"/>
      <c r="AG95" s="226"/>
      <c r="AH95" s="166"/>
      <c r="AI95" s="489"/>
      <c r="AJ95" s="197"/>
      <c r="AL95" s="226"/>
      <c r="AM95" s="166"/>
      <c r="AN95" s="489"/>
      <c r="AO95" s="197"/>
      <c r="AQ95" s="226"/>
      <c r="AR95" s="166"/>
      <c r="AS95" s="489"/>
      <c r="AT95" s="197"/>
      <c r="AU95" s="197"/>
      <c r="AV95" s="197"/>
      <c r="AW95" s="197"/>
    </row>
    <row r="96" spans="1:49" ht="12.75">
      <c r="A96" s="233" t="s">
        <v>657</v>
      </c>
      <c r="B96" s="117" t="s">
        <v>656</v>
      </c>
      <c r="C96" s="489">
        <f>D72</f>
        <v>0</v>
      </c>
      <c r="E96" s="187"/>
      <c r="F96" s="233" t="s">
        <v>658</v>
      </c>
      <c r="G96" s="117" t="s">
        <v>656</v>
      </c>
      <c r="H96" s="489">
        <f>I72</f>
        <v>0</v>
      </c>
      <c r="I96" s="197"/>
      <c r="K96" s="233" t="s">
        <v>658</v>
      </c>
      <c r="L96" s="117" t="s">
        <v>656</v>
      </c>
      <c r="M96" s="489">
        <f>N72</f>
        <v>0</v>
      </c>
      <c r="N96" s="197"/>
      <c r="P96" s="233" t="s">
        <v>658</v>
      </c>
      <c r="Q96" s="117" t="s">
        <v>656</v>
      </c>
      <c r="R96" s="489">
        <f>S72</f>
        <v>0</v>
      </c>
      <c r="S96" s="197"/>
      <c r="U96" s="233" t="s">
        <v>658</v>
      </c>
      <c r="V96" s="117" t="s">
        <v>656</v>
      </c>
      <c r="W96" s="489">
        <f>X72</f>
        <v>0</v>
      </c>
      <c r="X96" s="197"/>
      <c r="Y96" s="197"/>
      <c r="Z96" s="197"/>
      <c r="AA96" s="197"/>
      <c r="AB96" s="233" t="s">
        <v>658</v>
      </c>
      <c r="AC96" s="117" t="s">
        <v>656</v>
      </c>
      <c r="AD96" s="489">
        <f>AE72</f>
        <v>0</v>
      </c>
      <c r="AE96" s="197"/>
      <c r="AG96" s="233" t="s">
        <v>658</v>
      </c>
      <c r="AH96" s="117" t="s">
        <v>656</v>
      </c>
      <c r="AI96" s="489">
        <f>AJ72</f>
        <v>0</v>
      </c>
      <c r="AJ96" s="197"/>
      <c r="AL96" s="233" t="s">
        <v>658</v>
      </c>
      <c r="AM96" s="117" t="s">
        <v>656</v>
      </c>
      <c r="AN96" s="489">
        <f>AO72</f>
        <v>0</v>
      </c>
      <c r="AO96" s="197"/>
      <c r="AQ96" s="233" t="s">
        <v>658</v>
      </c>
      <c r="AR96" s="117" t="s">
        <v>656</v>
      </c>
      <c r="AS96" s="489">
        <f>AT72</f>
        <v>0</v>
      </c>
      <c r="AT96" s="197"/>
      <c r="AU96" s="197"/>
      <c r="AV96" s="197"/>
      <c r="AW96" s="197"/>
    </row>
    <row r="97" spans="1:49" ht="12.75">
      <c r="A97" s="226"/>
      <c r="B97" s="166"/>
      <c r="C97" s="489"/>
      <c r="E97" s="187"/>
      <c r="F97" s="226"/>
      <c r="G97" s="166"/>
      <c r="H97" s="489"/>
      <c r="I97" s="197"/>
      <c r="K97" s="226"/>
      <c r="L97" s="166"/>
      <c r="M97" s="489"/>
      <c r="N97" s="197"/>
      <c r="P97" s="226"/>
      <c r="Q97" s="166"/>
      <c r="R97" s="489"/>
      <c r="S97" s="197"/>
      <c r="U97" s="226"/>
      <c r="V97" s="166"/>
      <c r="W97" s="489"/>
      <c r="X97" s="197"/>
      <c r="Y97" s="197"/>
      <c r="Z97" s="197"/>
      <c r="AA97" s="197"/>
      <c r="AB97" s="226"/>
      <c r="AC97" s="166"/>
      <c r="AD97" s="489"/>
      <c r="AE97" s="197"/>
      <c r="AG97" s="226"/>
      <c r="AH97" s="166"/>
      <c r="AI97" s="489"/>
      <c r="AJ97" s="197"/>
      <c r="AL97" s="226"/>
      <c r="AM97" s="166"/>
      <c r="AN97" s="489"/>
      <c r="AO97" s="197"/>
      <c r="AQ97" s="226"/>
      <c r="AR97" s="166"/>
      <c r="AS97" s="489"/>
      <c r="AT97" s="197"/>
      <c r="AU97" s="197"/>
      <c r="AV97" s="197"/>
      <c r="AW97" s="197"/>
    </row>
    <row r="98" spans="1:49" ht="12.75">
      <c r="A98" s="233" t="s">
        <v>659</v>
      </c>
      <c r="B98" s="117" t="s">
        <v>656</v>
      </c>
      <c r="C98" s="489">
        <f>C86*B90</f>
        <v>0</v>
      </c>
      <c r="E98" s="187"/>
      <c r="F98" s="233" t="s">
        <v>660</v>
      </c>
      <c r="G98" s="117" t="s">
        <v>656</v>
      </c>
      <c r="H98" s="489">
        <f>H86*G90</f>
        <v>0</v>
      </c>
      <c r="I98" s="197"/>
      <c r="K98" s="233" t="s">
        <v>660</v>
      </c>
      <c r="L98" s="117" t="s">
        <v>656</v>
      </c>
      <c r="M98" s="489">
        <f>M86*L90</f>
        <v>0</v>
      </c>
      <c r="N98" s="197"/>
      <c r="P98" s="233" t="s">
        <v>660</v>
      </c>
      <c r="Q98" s="117" t="s">
        <v>656</v>
      </c>
      <c r="R98" s="489">
        <f>R86*Q90</f>
        <v>0</v>
      </c>
      <c r="S98" s="197"/>
      <c r="U98" s="233" t="s">
        <v>660</v>
      </c>
      <c r="V98" s="117" t="s">
        <v>656</v>
      </c>
      <c r="W98" s="489">
        <f>W86*V90</f>
        <v>0</v>
      </c>
      <c r="X98" s="197"/>
      <c r="Y98" s="197"/>
      <c r="Z98" s="197"/>
      <c r="AA98" s="197"/>
      <c r="AB98" s="233" t="s">
        <v>660</v>
      </c>
      <c r="AC98" s="117" t="s">
        <v>656</v>
      </c>
      <c r="AD98" s="489">
        <f>AD86*AC90</f>
        <v>0</v>
      </c>
      <c r="AE98" s="197"/>
      <c r="AG98" s="233" t="s">
        <v>660</v>
      </c>
      <c r="AH98" s="117" t="s">
        <v>656</v>
      </c>
      <c r="AI98" s="489">
        <f>AI86*AH90</f>
        <v>0</v>
      </c>
      <c r="AJ98" s="197"/>
      <c r="AL98" s="233" t="s">
        <v>660</v>
      </c>
      <c r="AM98" s="117" t="s">
        <v>656</v>
      </c>
      <c r="AN98" s="489">
        <f>AN86*AM90</f>
        <v>0</v>
      </c>
      <c r="AO98" s="197"/>
      <c r="AQ98" s="233" t="s">
        <v>660</v>
      </c>
      <c r="AR98" s="117" t="s">
        <v>656</v>
      </c>
      <c r="AS98" s="489">
        <f>AS86*AR90</f>
        <v>0</v>
      </c>
      <c r="AT98" s="197"/>
      <c r="AU98" s="197"/>
      <c r="AV98" s="197"/>
      <c r="AW98" s="197"/>
    </row>
    <row r="99" spans="1:49" ht="12.75">
      <c r="A99" s="226"/>
      <c r="B99" s="166"/>
      <c r="C99" s="489"/>
      <c r="E99" s="187"/>
      <c r="F99" s="226"/>
      <c r="G99" s="166"/>
      <c r="H99" s="489"/>
      <c r="I99" s="197"/>
      <c r="K99" s="226"/>
      <c r="L99" s="166"/>
      <c r="M99" s="489"/>
      <c r="N99" s="197"/>
      <c r="P99" s="226"/>
      <c r="Q99" s="166"/>
      <c r="R99" s="489"/>
      <c r="S99" s="197"/>
      <c r="U99" s="226"/>
      <c r="V99" s="166"/>
      <c r="W99" s="489"/>
      <c r="X99" s="197"/>
      <c r="Y99" s="197"/>
      <c r="Z99" s="197"/>
      <c r="AA99" s="197"/>
      <c r="AB99" s="226"/>
      <c r="AC99" s="166"/>
      <c r="AD99" s="489"/>
      <c r="AE99" s="197"/>
      <c r="AG99" s="226"/>
      <c r="AH99" s="166"/>
      <c r="AI99" s="489"/>
      <c r="AJ99" s="197"/>
      <c r="AL99" s="226"/>
      <c r="AM99" s="166"/>
      <c r="AN99" s="489"/>
      <c r="AO99" s="197"/>
      <c r="AQ99" s="226"/>
      <c r="AR99" s="166"/>
      <c r="AS99" s="489"/>
      <c r="AT99" s="197"/>
      <c r="AU99" s="197"/>
      <c r="AV99" s="197"/>
      <c r="AW99" s="197"/>
    </row>
    <row r="100" spans="1:49" ht="12.75">
      <c r="A100" s="233" t="s">
        <v>266</v>
      </c>
      <c r="B100" s="117" t="s">
        <v>656</v>
      </c>
      <c r="C100" s="489">
        <f>C94-C96-C98</f>
        <v>0</v>
      </c>
      <c r="E100" s="187"/>
      <c r="F100" s="233" t="s">
        <v>266</v>
      </c>
      <c r="G100" s="117" t="s">
        <v>656</v>
      </c>
      <c r="H100" s="489">
        <f>H94-H96-H98</f>
        <v>0</v>
      </c>
      <c r="I100" s="197"/>
      <c r="K100" s="233" t="s">
        <v>266</v>
      </c>
      <c r="L100" s="117" t="s">
        <v>656</v>
      </c>
      <c r="M100" s="489">
        <f>M94-M96-M98</f>
        <v>0</v>
      </c>
      <c r="N100" s="197"/>
      <c r="P100" s="233" t="s">
        <v>266</v>
      </c>
      <c r="Q100" s="117" t="s">
        <v>656</v>
      </c>
      <c r="R100" s="489">
        <f>R94-R96-R98</f>
        <v>0</v>
      </c>
      <c r="S100" s="197"/>
      <c r="U100" s="233" t="s">
        <v>266</v>
      </c>
      <c r="V100" s="117" t="s">
        <v>656</v>
      </c>
      <c r="W100" s="489">
        <f>W94-W96-W98</f>
        <v>0</v>
      </c>
      <c r="X100" s="197"/>
      <c r="Y100" s="197"/>
      <c r="Z100" s="197"/>
      <c r="AA100" s="197"/>
      <c r="AB100" s="233" t="s">
        <v>266</v>
      </c>
      <c r="AC100" s="117" t="s">
        <v>656</v>
      </c>
      <c r="AD100" s="489">
        <f>AD94-AD96-AD98</f>
        <v>0</v>
      </c>
      <c r="AE100" s="197"/>
      <c r="AG100" s="233" t="s">
        <v>266</v>
      </c>
      <c r="AH100" s="117" t="s">
        <v>656</v>
      </c>
      <c r="AI100" s="489">
        <f>AI94-AI96-AI98</f>
        <v>0</v>
      </c>
      <c r="AJ100" s="197"/>
      <c r="AL100" s="233" t="s">
        <v>266</v>
      </c>
      <c r="AM100" s="117" t="s">
        <v>656</v>
      </c>
      <c r="AN100" s="489">
        <f>AN94-AN96-AN98</f>
        <v>0</v>
      </c>
      <c r="AO100" s="197"/>
      <c r="AQ100" s="233" t="s">
        <v>266</v>
      </c>
      <c r="AR100" s="117" t="s">
        <v>656</v>
      </c>
      <c r="AS100" s="489">
        <f>AS94-AS96-AS98</f>
        <v>0</v>
      </c>
      <c r="AT100" s="197"/>
      <c r="AU100" s="197"/>
      <c r="AV100" s="197"/>
      <c r="AW100" s="197"/>
    </row>
    <row r="101" spans="1:49" ht="12.75">
      <c r="A101" s="226"/>
      <c r="B101" s="166"/>
      <c r="C101" s="489"/>
      <c r="E101" s="187"/>
      <c r="F101" s="226"/>
      <c r="G101" s="166"/>
      <c r="H101" s="489"/>
      <c r="I101" s="197"/>
      <c r="K101" s="226"/>
      <c r="L101" s="166"/>
      <c r="M101" s="489"/>
      <c r="N101" s="197"/>
      <c r="P101" s="226"/>
      <c r="Q101" s="166"/>
      <c r="R101" s="489"/>
      <c r="S101" s="197"/>
      <c r="U101" s="226"/>
      <c r="V101" s="166"/>
      <c r="W101" s="489"/>
      <c r="X101" s="197"/>
      <c r="Y101" s="197"/>
      <c r="Z101" s="197"/>
      <c r="AA101" s="197"/>
      <c r="AB101" s="226"/>
      <c r="AC101" s="166"/>
      <c r="AD101" s="489"/>
      <c r="AE101" s="197"/>
      <c r="AG101" s="226"/>
      <c r="AH101" s="166"/>
      <c r="AI101" s="489"/>
      <c r="AJ101" s="197"/>
      <c r="AL101" s="226"/>
      <c r="AM101" s="166"/>
      <c r="AN101" s="489"/>
      <c r="AO101" s="197"/>
      <c r="AQ101" s="226"/>
      <c r="AR101" s="166"/>
      <c r="AS101" s="489"/>
      <c r="AT101" s="197"/>
      <c r="AU101" s="197"/>
      <c r="AV101" s="197"/>
      <c r="AW101" s="197"/>
    </row>
    <row r="102" spans="1:49" ht="12.75">
      <c r="A102" s="87" t="s">
        <v>661</v>
      </c>
      <c r="B102" s="135" t="s">
        <v>662</v>
      </c>
      <c r="C102" s="490">
        <f>IF(C96=0,0,+C100/(C96+C98))</f>
        <v>0</v>
      </c>
      <c r="E102" s="187"/>
      <c r="F102" s="87" t="s">
        <v>661</v>
      </c>
      <c r="G102" s="135" t="s">
        <v>662</v>
      </c>
      <c r="H102" s="490">
        <f>IF(H96=0,0,+H100/(H96+H98))</f>
        <v>0</v>
      </c>
      <c r="I102" s="197"/>
      <c r="K102" s="87" t="s">
        <v>661</v>
      </c>
      <c r="L102" s="135" t="s">
        <v>662</v>
      </c>
      <c r="M102" s="490">
        <f>IF(M96=0,0,+M100/(M96+M98))</f>
        <v>0</v>
      </c>
      <c r="N102" s="197"/>
      <c r="P102" s="87" t="s">
        <v>661</v>
      </c>
      <c r="Q102" s="135" t="s">
        <v>662</v>
      </c>
      <c r="R102" s="490">
        <f>IF(R96=0,0,+R100/(R96+R98))</f>
        <v>0</v>
      </c>
      <c r="S102" s="197"/>
      <c r="U102" s="87" t="s">
        <v>661</v>
      </c>
      <c r="V102" s="135" t="s">
        <v>662</v>
      </c>
      <c r="W102" s="490">
        <f>IF(W96=0,0,+W100/(W96+W98))</f>
        <v>0</v>
      </c>
      <c r="X102" s="197"/>
      <c r="Y102" s="197"/>
      <c r="Z102" s="197"/>
      <c r="AA102" s="197"/>
      <c r="AB102" s="87" t="s">
        <v>661</v>
      </c>
      <c r="AC102" s="135" t="s">
        <v>662</v>
      </c>
      <c r="AD102" s="490">
        <f>IF(AD96=0,0,+AD100/(AD96+AD98))</f>
        <v>0</v>
      </c>
      <c r="AE102" s="197"/>
      <c r="AG102" s="87" t="s">
        <v>661</v>
      </c>
      <c r="AH102" s="135" t="s">
        <v>662</v>
      </c>
      <c r="AI102" s="490">
        <f>IF(AI96=0,0,+AI100/(AI96+AI98))</f>
        <v>0</v>
      </c>
      <c r="AJ102" s="197"/>
      <c r="AL102" s="87" t="s">
        <v>661</v>
      </c>
      <c r="AM102" s="135" t="s">
        <v>662</v>
      </c>
      <c r="AN102" s="490">
        <f>IF(AN96=0,0,+AN100/(AN96+AN98))</f>
        <v>0</v>
      </c>
      <c r="AO102" s="197"/>
      <c r="AQ102" s="87" t="s">
        <v>661</v>
      </c>
      <c r="AR102" s="135" t="s">
        <v>662</v>
      </c>
      <c r="AS102" s="490">
        <f>IF(AS96=0,0,+AS100/(AS96+AS98))</f>
        <v>0</v>
      </c>
      <c r="AT102" s="197"/>
      <c r="AU102" s="197"/>
      <c r="AV102" s="197"/>
      <c r="AW102" s="197"/>
    </row>
    <row r="103" spans="1:49" ht="12.75">
      <c r="A103" s="202"/>
      <c r="B103" s="166"/>
      <c r="C103" s="166"/>
      <c r="D103" s="166"/>
      <c r="E103" s="187"/>
      <c r="F103" s="202"/>
      <c r="G103" s="166"/>
      <c r="H103" s="166"/>
      <c r="I103" s="166"/>
      <c r="K103" s="202"/>
      <c r="L103" s="166"/>
      <c r="M103" s="166"/>
      <c r="N103" s="166"/>
      <c r="P103" s="202"/>
      <c r="Q103" s="166"/>
      <c r="R103" s="166"/>
      <c r="S103" s="166"/>
      <c r="U103" s="202"/>
      <c r="V103" s="166"/>
      <c r="W103" s="166"/>
      <c r="X103" s="166"/>
      <c r="Y103" s="166"/>
      <c r="Z103" s="166"/>
      <c r="AA103" s="166"/>
      <c r="AB103" s="202"/>
      <c r="AC103" s="166"/>
      <c r="AD103" s="166"/>
      <c r="AE103" s="166"/>
      <c r="AG103" s="202"/>
      <c r="AH103" s="166"/>
      <c r="AI103" s="166"/>
      <c r="AJ103" s="166"/>
      <c r="AL103" s="202"/>
      <c r="AM103" s="166"/>
      <c r="AN103" s="166"/>
      <c r="AO103" s="166"/>
      <c r="AQ103" s="202"/>
      <c r="AR103" s="166"/>
      <c r="AS103" s="166"/>
      <c r="AT103" s="166"/>
      <c r="AU103" s="166"/>
      <c r="AV103" s="166"/>
      <c r="AW103" s="166"/>
    </row>
    <row r="104" spans="1:17" s="671" customFormat="1" ht="12.75">
      <c r="A104" s="708"/>
      <c r="B104" s="709"/>
      <c r="C104" s="709"/>
      <c r="D104" s="710"/>
      <c r="E104" s="711"/>
      <c r="F104" s="712"/>
      <c r="G104" s="712"/>
      <c r="I104" s="712"/>
      <c r="J104" s="712"/>
      <c r="K104" s="712"/>
      <c r="L104" s="712"/>
      <c r="N104" s="712"/>
      <c r="O104" s="712"/>
      <c r="P104" s="712"/>
      <c r="Q104" s="712"/>
    </row>
    <row r="105" spans="1:17" s="671" customFormat="1" ht="12.75">
      <c r="A105" s="713"/>
      <c r="B105" s="709"/>
      <c r="C105" s="709"/>
      <c r="D105" s="714"/>
      <c r="E105" s="711"/>
      <c r="F105" s="712"/>
      <c r="G105" s="712"/>
      <c r="I105" s="712"/>
      <c r="J105" s="712"/>
      <c r="K105" s="712"/>
      <c r="L105" s="712"/>
      <c r="N105" s="712"/>
      <c r="O105" s="712"/>
      <c r="P105" s="712"/>
      <c r="Q105" s="712"/>
    </row>
    <row r="106" spans="1:10" s="671" customFormat="1" ht="12.75">
      <c r="A106" s="710" t="s">
        <v>663</v>
      </c>
      <c r="B106" s="710">
        <f>+SUM(D13:D24)+SUM(D28:D39)</f>
        <v>0</v>
      </c>
      <c r="C106" s="710">
        <f>+SUM(I13:I24)+SUM(I28:I39)</f>
        <v>0</v>
      </c>
      <c r="D106" s="710">
        <f>+SUM(N13:N24)+SUM(N28:N39)</f>
        <v>0</v>
      </c>
      <c r="E106" s="710">
        <f>+SUM(S13:S24)+SUM(S28:S39)</f>
        <v>0</v>
      </c>
      <c r="F106" s="710">
        <f>+SUM(X13:X24)+SUM(X28:X39)</f>
        <v>0</v>
      </c>
      <c r="G106" s="710">
        <f>+SUM(AE13:AE24)+SUM(AE28:AE39)</f>
        <v>0</v>
      </c>
      <c r="H106" s="710">
        <f>+SUM(AJ13:AJ24)+SUM(AJ28:AJ39)</f>
        <v>0</v>
      </c>
      <c r="I106" s="710">
        <f>+SUM(AO13:AO24)+SUM(AO28:AO39)</f>
        <v>0</v>
      </c>
      <c r="J106" s="710">
        <f>+SUM(AT13:AT24)+SUM(AT28:AT39)</f>
        <v>0</v>
      </c>
    </row>
    <row r="107" spans="1:18" s="671" customFormat="1" ht="12.75">
      <c r="A107" s="714" t="s">
        <v>664</v>
      </c>
      <c r="B107" s="714">
        <f>+(C63+C64+C65)</f>
        <v>0</v>
      </c>
      <c r="C107" s="714">
        <f>+(H63+H64+H65)</f>
        <v>0</v>
      </c>
      <c r="D107" s="714">
        <f>+(M63+M64+M65)</f>
        <v>0</v>
      </c>
      <c r="E107" s="714">
        <f>+(R63+R64+R65)</f>
        <v>0</v>
      </c>
      <c r="F107" s="714">
        <f>+(W63+W64+W65)</f>
        <v>0</v>
      </c>
      <c r="G107" s="714">
        <f>+(AD63+AD64+AD65)</f>
        <v>0</v>
      </c>
      <c r="H107" s="714">
        <f>+(AI63+AI64+AI65)</f>
        <v>0</v>
      </c>
      <c r="I107" s="714">
        <f>+(AN63+AN64+AN65)</f>
        <v>0</v>
      </c>
      <c r="J107" s="714">
        <f>+(AS63+AS64+AS65)</f>
        <v>0</v>
      </c>
      <c r="K107" s="715"/>
      <c r="P107" s="715"/>
      <c r="Q107" s="715"/>
      <c r="R107" s="715"/>
    </row>
    <row r="108" spans="1:49" s="671" customFormat="1" ht="12.75">
      <c r="A108" s="714" t="s">
        <v>665</v>
      </c>
      <c r="B108" s="714">
        <f>+C36+C39+C24+C21</f>
        <v>0</v>
      </c>
      <c r="C108" s="714">
        <f>+H36+H39+H24+H21</f>
        <v>0</v>
      </c>
      <c r="D108" s="714">
        <f>+M36+M39+M24+M21</f>
        <v>0</v>
      </c>
      <c r="E108" s="714">
        <f>+R36+R39+R24+R21</f>
        <v>0</v>
      </c>
      <c r="F108" s="714">
        <f>+W36+W39+W24+W21</f>
        <v>0</v>
      </c>
      <c r="G108" s="714">
        <f>+AD36+AD39+AD24+AD21</f>
        <v>0</v>
      </c>
      <c r="H108" s="714">
        <f>+AI36+AI39+AI24+AI21</f>
        <v>0</v>
      </c>
      <c r="I108" s="714">
        <f>+AN36+AN39+AN24+AN21</f>
        <v>0</v>
      </c>
      <c r="J108" s="714">
        <f>+AS36+AS39+AS24+AS21</f>
        <v>0</v>
      </c>
      <c r="K108" s="715"/>
      <c r="P108" s="715"/>
      <c r="Q108" s="715"/>
      <c r="R108" s="715"/>
      <c r="U108" s="715"/>
      <c r="AO108" s="715"/>
      <c r="AR108" s="715"/>
      <c r="AT108" s="715"/>
      <c r="AU108" s="715"/>
      <c r="AV108" s="715"/>
      <c r="AW108" s="715"/>
    </row>
    <row r="109" spans="1:49" s="671" customFormat="1" ht="12.75">
      <c r="A109" s="716"/>
      <c r="B109" s="716"/>
      <c r="C109" s="712"/>
      <c r="D109" s="716"/>
      <c r="E109" s="712"/>
      <c r="F109" s="712"/>
      <c r="G109" s="712"/>
      <c r="H109" s="712"/>
      <c r="I109" s="715"/>
      <c r="J109" s="712"/>
      <c r="K109" s="712"/>
      <c r="P109" s="712"/>
      <c r="Q109" s="712"/>
      <c r="R109" s="712"/>
      <c r="S109" s="712"/>
      <c r="T109" s="712"/>
      <c r="U109" s="712"/>
      <c r="V109" s="712"/>
      <c r="W109" s="712"/>
      <c r="AB109" s="712"/>
      <c r="AC109" s="712"/>
      <c r="AD109" s="712"/>
      <c r="AE109" s="712"/>
      <c r="AF109" s="712"/>
      <c r="AG109" s="715"/>
      <c r="AH109" s="715"/>
      <c r="AI109" s="715"/>
      <c r="AJ109" s="715"/>
      <c r="AM109" s="715"/>
      <c r="AO109" s="715"/>
      <c r="AR109" s="715"/>
      <c r="AT109" s="715"/>
      <c r="AU109" s="715"/>
      <c r="AV109" s="715"/>
      <c r="AW109" s="715"/>
    </row>
    <row r="110" spans="1:49" s="671" customFormat="1" ht="12.75">
      <c r="A110" s="716"/>
      <c r="B110" s="716"/>
      <c r="D110" s="716"/>
      <c r="E110" s="717"/>
      <c r="Q110" s="715"/>
      <c r="S110" s="715"/>
      <c r="V110" s="715"/>
      <c r="X110" s="715"/>
      <c r="Y110" s="715"/>
      <c r="Z110" s="715"/>
      <c r="AA110" s="715"/>
      <c r="AM110" s="715"/>
      <c r="AO110" s="715"/>
      <c r="AR110" s="715"/>
      <c r="AT110" s="715"/>
      <c r="AU110" s="715"/>
      <c r="AV110" s="715"/>
      <c r="AW110" s="715"/>
    </row>
    <row r="111" spans="1:49" ht="12.75">
      <c r="A111" s="117"/>
      <c r="B111" s="117"/>
      <c r="C111" s="115"/>
      <c r="D111" s="209"/>
      <c r="E111" s="99"/>
      <c r="Q111" s="237"/>
      <c r="S111" s="237"/>
      <c r="V111" s="237"/>
      <c r="X111" s="237"/>
      <c r="Y111" s="237"/>
      <c r="Z111" s="237"/>
      <c r="AA111" s="237"/>
      <c r="AM111" s="237"/>
      <c r="AO111" s="237"/>
      <c r="AR111" s="237"/>
      <c r="AT111" s="237"/>
      <c r="AU111" s="237"/>
      <c r="AV111" s="237"/>
      <c r="AW111" s="237"/>
    </row>
    <row r="112" spans="1:49" ht="12.75">
      <c r="A112" s="117"/>
      <c r="B112" s="117"/>
      <c r="C112" s="115"/>
      <c r="D112" s="209"/>
      <c r="E112" s="99"/>
      <c r="Q112" s="237"/>
      <c r="S112" s="237"/>
      <c r="V112" s="237"/>
      <c r="X112" s="237"/>
      <c r="Y112" s="237"/>
      <c r="Z112" s="237"/>
      <c r="AA112" s="237"/>
      <c r="AM112" s="237"/>
      <c r="AO112" s="237"/>
      <c r="AR112" s="237"/>
      <c r="AT112" s="237"/>
      <c r="AU112" s="237"/>
      <c r="AV112" s="237"/>
      <c r="AW112" s="237"/>
    </row>
    <row r="113" spans="1:27" ht="12.75">
      <c r="A113" s="117"/>
      <c r="B113" s="117"/>
      <c r="C113" s="115"/>
      <c r="D113" s="209"/>
      <c r="E113" s="99"/>
      <c r="Q113" s="237"/>
      <c r="S113" s="237"/>
      <c r="V113" s="237"/>
      <c r="X113" s="237"/>
      <c r="Y113" s="237"/>
      <c r="Z113" s="237"/>
      <c r="AA113" s="237"/>
    </row>
    <row r="114" spans="1:27" ht="12.75">
      <c r="A114" s="117"/>
      <c r="B114" s="117"/>
      <c r="C114" s="166"/>
      <c r="D114" s="166"/>
      <c r="E114" s="99"/>
      <c r="Q114" s="237"/>
      <c r="S114" s="237"/>
      <c r="V114" s="237"/>
      <c r="X114" s="237"/>
      <c r="Y114" s="237"/>
      <c r="Z114" s="237"/>
      <c r="AA114" s="237"/>
    </row>
    <row r="115" spans="1:27" ht="12.75">
      <c r="A115" s="117"/>
      <c r="B115" s="117"/>
      <c r="C115" s="166"/>
      <c r="D115" s="166"/>
      <c r="E115" s="99"/>
      <c r="Q115" s="237"/>
      <c r="S115" s="237"/>
      <c r="V115" s="237"/>
      <c r="X115" s="237"/>
      <c r="Y115" s="237"/>
      <c r="Z115" s="237"/>
      <c r="AA115" s="237"/>
    </row>
    <row r="116" spans="1:27" ht="12.75">
      <c r="A116" s="117"/>
      <c r="B116" s="117"/>
      <c r="C116" s="166"/>
      <c r="D116" s="166"/>
      <c r="E116" s="99"/>
      <c r="Q116" s="237"/>
      <c r="S116" s="237"/>
      <c r="V116" s="237"/>
      <c r="X116" s="237"/>
      <c r="Y116" s="237"/>
      <c r="Z116" s="237"/>
      <c r="AA116" s="237"/>
    </row>
    <row r="117" spans="1:27" ht="12.75">
      <c r="A117" s="117"/>
      <c r="B117" s="117"/>
      <c r="C117" s="166"/>
      <c r="D117" s="166"/>
      <c r="E117" s="99"/>
      <c r="Q117" s="237"/>
      <c r="S117" s="237"/>
      <c r="V117" s="237"/>
      <c r="X117" s="237"/>
      <c r="Y117" s="237"/>
      <c r="Z117" s="237"/>
      <c r="AA117" s="237"/>
    </row>
    <row r="118" spans="1:27" ht="12.75">
      <c r="A118" s="117"/>
      <c r="B118" s="117"/>
      <c r="C118" s="166"/>
      <c r="D118" s="166"/>
      <c r="E118" s="99"/>
      <c r="Q118" s="237"/>
      <c r="S118" s="237"/>
      <c r="V118" s="237"/>
      <c r="X118" s="237"/>
      <c r="Y118" s="237"/>
      <c r="Z118" s="237"/>
      <c r="AA118" s="237"/>
    </row>
    <row r="119" spans="1:27" ht="12.75">
      <c r="A119" s="117"/>
      <c r="B119" s="117"/>
      <c r="C119" s="166"/>
      <c r="D119" s="166"/>
      <c r="E119" s="99"/>
      <c r="Q119" s="237"/>
      <c r="S119" s="237"/>
      <c r="V119" s="237"/>
      <c r="X119" s="237"/>
      <c r="Y119" s="237"/>
      <c r="Z119" s="237"/>
      <c r="AA119" s="237"/>
    </row>
    <row r="120" spans="1:27" ht="12.75">
      <c r="A120" s="166"/>
      <c r="B120" s="166"/>
      <c r="C120" s="166"/>
      <c r="D120" s="166"/>
      <c r="E120" s="99"/>
      <c r="Q120" s="237"/>
      <c r="S120" s="237"/>
      <c r="V120" s="237"/>
      <c r="X120" s="237"/>
      <c r="Y120" s="237"/>
      <c r="Z120" s="237"/>
      <c r="AA120" s="237"/>
    </row>
    <row r="121" spans="1:27" ht="12.75">
      <c r="A121" s="166"/>
      <c r="B121" s="166"/>
      <c r="C121" s="166"/>
      <c r="D121" s="166"/>
      <c r="E121" s="99"/>
      <c r="Q121" s="237"/>
      <c r="S121" s="237"/>
      <c r="V121" s="237"/>
      <c r="X121" s="237"/>
      <c r="Y121" s="237"/>
      <c r="Z121" s="237"/>
      <c r="AA121" s="237"/>
    </row>
    <row r="122" spans="1:27" ht="12.75">
      <c r="A122" s="166"/>
      <c r="B122" s="166"/>
      <c r="C122" s="166"/>
      <c r="D122" s="166"/>
      <c r="E122" s="99"/>
      <c r="Q122" s="237"/>
      <c r="S122" s="237"/>
      <c r="V122" s="237"/>
      <c r="X122" s="237"/>
      <c r="Y122" s="237"/>
      <c r="Z122" s="237"/>
      <c r="AA122" s="237"/>
    </row>
    <row r="123" spans="1:27" ht="12.75">
      <c r="A123" s="166"/>
      <c r="B123" s="166"/>
      <c r="C123" s="166"/>
      <c r="D123" s="166"/>
      <c r="E123" s="99"/>
      <c r="Q123" s="237"/>
      <c r="S123" s="237"/>
      <c r="V123" s="237"/>
      <c r="X123" s="237"/>
      <c r="Y123" s="237"/>
      <c r="Z123" s="237"/>
      <c r="AA123" s="237"/>
    </row>
    <row r="124" spans="1:27" ht="12.75">
      <c r="A124" s="166"/>
      <c r="B124" s="166"/>
      <c r="C124" s="166"/>
      <c r="D124" s="166"/>
      <c r="E124" s="99"/>
      <c r="Q124" s="237"/>
      <c r="S124" s="237"/>
      <c r="V124" s="237"/>
      <c r="X124" s="237"/>
      <c r="Y124" s="237"/>
      <c r="Z124" s="237"/>
      <c r="AA124" s="237"/>
    </row>
    <row r="125" spans="1:27" ht="12.75">
      <c r="A125" s="166"/>
      <c r="B125" s="166"/>
      <c r="C125" s="166"/>
      <c r="D125" s="166"/>
      <c r="E125" s="99"/>
      <c r="S125" s="237"/>
      <c r="X125" s="237"/>
      <c r="Y125" s="237"/>
      <c r="Z125" s="237"/>
      <c r="AA125" s="237"/>
    </row>
    <row r="126" spans="1:27" ht="12.75">
      <c r="A126" s="166"/>
      <c r="B126" s="166"/>
      <c r="C126" s="166"/>
      <c r="D126" s="166"/>
      <c r="E126" s="99"/>
      <c r="S126" s="237"/>
      <c r="X126" s="237"/>
      <c r="Y126" s="237"/>
      <c r="Z126" s="237"/>
      <c r="AA126" s="237"/>
    </row>
    <row r="127" spans="1:5" ht="12.75">
      <c r="A127" s="166"/>
      <c r="B127" s="166"/>
      <c r="C127" s="166"/>
      <c r="D127" s="166"/>
      <c r="E127" s="99"/>
    </row>
    <row r="128" spans="1:5" ht="12.75">
      <c r="A128" s="166"/>
      <c r="B128" s="166"/>
      <c r="C128" s="166"/>
      <c r="D128" s="166"/>
      <c r="E128" s="99"/>
    </row>
    <row r="129" spans="1:5" ht="12.75">
      <c r="A129" s="166"/>
      <c r="B129" s="166"/>
      <c r="C129" s="166"/>
      <c r="D129" s="166"/>
      <c r="E129" s="99"/>
    </row>
    <row r="134" spans="19:27" ht="12.75">
      <c r="S134" s="237"/>
      <c r="X134" s="237"/>
      <c r="Y134" s="237"/>
      <c r="Z134" s="237"/>
      <c r="AA134" s="237"/>
    </row>
    <row r="145" spans="19:27" ht="12.75">
      <c r="S145" s="237"/>
      <c r="X145" s="237"/>
      <c r="Y145" s="237"/>
      <c r="Z145" s="237"/>
      <c r="AA145" s="237"/>
    </row>
    <row r="146" spans="24:27" ht="12.75">
      <c r="X146" s="237"/>
      <c r="Y146" s="237"/>
      <c r="Z146" s="237"/>
      <c r="AA146" s="237"/>
    </row>
    <row r="147" spans="19:27" ht="12.75">
      <c r="S147" s="237"/>
      <c r="X147" s="237"/>
      <c r="Y147" s="237"/>
      <c r="Z147" s="237"/>
      <c r="AA147" s="237"/>
    </row>
    <row r="150" spans="19:27" ht="12.75">
      <c r="S150" s="237"/>
      <c r="X150" s="237"/>
      <c r="Y150" s="237"/>
      <c r="Z150" s="237"/>
      <c r="AA150" s="237"/>
    </row>
    <row r="151" spans="19:27" ht="12.75">
      <c r="S151" s="237"/>
      <c r="X151" s="237"/>
      <c r="Y151" s="237"/>
      <c r="Z151" s="237"/>
      <c r="AA151" s="237"/>
    </row>
    <row r="154" spans="16:27" ht="12.75">
      <c r="P154" s="125"/>
      <c r="S154" s="237"/>
      <c r="X154" s="237"/>
      <c r="Y154" s="237"/>
      <c r="Z154" s="237"/>
      <c r="AA154" s="237"/>
    </row>
    <row r="155" spans="16:27" ht="12.75">
      <c r="P155" s="125"/>
      <c r="S155" s="237"/>
      <c r="X155" s="237"/>
      <c r="Y155" s="237"/>
      <c r="Z155" s="237"/>
      <c r="AA155" s="237"/>
    </row>
    <row r="156" spans="16:27" ht="12.75">
      <c r="P156" s="125"/>
      <c r="S156" s="237"/>
      <c r="X156" s="237"/>
      <c r="Y156" s="237"/>
      <c r="Z156" s="237"/>
      <c r="AA156" s="237"/>
    </row>
    <row r="157" spans="16:27" ht="12.75">
      <c r="P157" s="125"/>
      <c r="S157" s="237"/>
      <c r="X157" s="237"/>
      <c r="Y157" s="237"/>
      <c r="Z157" s="237"/>
      <c r="AA157" s="237"/>
    </row>
    <row r="158" spans="16:27" ht="12.75">
      <c r="P158" s="125"/>
      <c r="S158" s="237"/>
      <c r="X158" s="237"/>
      <c r="Y158" s="237"/>
      <c r="Z158" s="237"/>
      <c r="AA158" s="237"/>
    </row>
    <row r="159" spans="16:27" ht="12.75">
      <c r="P159" s="125"/>
      <c r="S159" s="237"/>
      <c r="X159" s="237"/>
      <c r="Y159" s="237"/>
      <c r="Z159" s="237"/>
      <c r="AA159" s="237"/>
    </row>
    <row r="160" spans="16:27" ht="12.75">
      <c r="P160" s="125"/>
      <c r="S160" s="237"/>
      <c r="X160" s="237"/>
      <c r="Y160" s="237"/>
      <c r="Z160" s="237"/>
      <c r="AA160" s="237"/>
    </row>
    <row r="161" spans="16:27" ht="12.75">
      <c r="P161" s="125"/>
      <c r="S161" s="237"/>
      <c r="X161" s="237"/>
      <c r="Y161" s="237"/>
      <c r="Z161" s="237"/>
      <c r="AA161" s="237"/>
    </row>
    <row r="162" spans="16:27" ht="12.75">
      <c r="P162" s="125"/>
      <c r="S162" s="237"/>
      <c r="X162" s="237"/>
      <c r="Y162" s="237"/>
      <c r="Z162" s="237"/>
      <c r="AA162" s="237"/>
    </row>
    <row r="163" ht="12.75">
      <c r="P163" s="125"/>
    </row>
    <row r="164" spans="16:19" ht="12.75">
      <c r="P164" s="105"/>
      <c r="Q164" s="105"/>
      <c r="R164" s="105"/>
      <c r="S164" s="105"/>
    </row>
  </sheetData>
  <sheetProtection password="CF3C" sheet="1" objects="1" scenarios="1"/>
  <printOptions/>
  <pageMargins left="0.7874015748031497" right="0.3937007874015748" top="0.6692913385826772" bottom="0.7086614173228347" header="0.3937007874015748" footer="0.5118110236220472"/>
  <pageSetup fitToHeight="1" fitToWidth="1" horizontalDpi="300" verticalDpi="300" orientation="portrait" paperSize="9" scale="68" r:id="rId3"/>
  <headerFooter alignWithMargins="0">
    <oddHeader>&amp;R&amp;"Verdana,Negrita"&amp;8TAMBO 2006&amp;"Verdana,Normal"- Modelo de Análisis:  Tambo, Invernada y Agricultura</oddHeader>
    <oddFooter>&amp;C&amp;"Arial,Cursiva"&amp;10Administración  de Organizaciones - Facultad de Ciencias Agrarias - UNL</oddFooter>
  </headerFooter>
  <legacyDrawing r:id="rId2"/>
</worksheet>
</file>

<file path=xl/worksheets/sheet5.xml><?xml version="1.0" encoding="utf-8"?>
<worksheet xmlns="http://schemas.openxmlformats.org/spreadsheetml/2006/main" xmlns:r="http://schemas.openxmlformats.org/officeDocument/2006/relationships">
  <sheetPr codeName="Hoja5">
    <pageSetUpPr fitToPage="1"/>
  </sheetPr>
  <dimension ref="A1:O1627"/>
  <sheetViews>
    <sheetView showGridLines="0" zoomScale="80" zoomScaleNormal="80" zoomScalePageLayoutView="0" workbookViewId="0" topLeftCell="H1">
      <selection activeCell="M31" sqref="M31"/>
    </sheetView>
  </sheetViews>
  <sheetFormatPr defaultColWidth="11.19921875" defaultRowHeight="15"/>
  <cols>
    <col min="1" max="1" width="14.19921875" style="434" customWidth="1"/>
    <col min="2" max="2" width="13.69921875" style="434" customWidth="1"/>
    <col min="3" max="3" width="13.19921875" style="434" customWidth="1"/>
    <col min="4" max="4" width="14.09765625" style="434" customWidth="1"/>
    <col min="5" max="8" width="11.59765625" style="434" customWidth="1"/>
    <col min="9" max="9" width="10.59765625" style="434" customWidth="1"/>
    <col min="10" max="10" width="17.19921875" style="434" customWidth="1"/>
    <col min="11" max="11" width="12.19921875" style="434" customWidth="1"/>
    <col min="12" max="12" width="13.09765625" style="434" customWidth="1"/>
    <col min="13" max="13" width="13.796875" style="434" customWidth="1"/>
    <col min="14" max="14" width="13.09765625" style="434" customWidth="1"/>
    <col min="15" max="16384" width="11.59765625" style="434" customWidth="1"/>
  </cols>
  <sheetData>
    <row r="1" spans="1:12" ht="23.25" customHeight="1">
      <c r="A1" s="1363" t="s">
        <v>1144</v>
      </c>
      <c r="I1" s="1364" t="s">
        <v>666</v>
      </c>
      <c r="J1" s="481"/>
      <c r="K1" s="481"/>
      <c r="L1" s="481"/>
    </row>
    <row r="2" spans="1:15" ht="15" customHeight="1">
      <c r="A2" s="481"/>
      <c r="B2" s="481"/>
      <c r="C2" s="481"/>
      <c r="D2" s="492"/>
      <c r="E2" s="492"/>
      <c r="J2" s="643" t="s">
        <v>667</v>
      </c>
      <c r="K2" s="644"/>
      <c r="L2" s="504"/>
      <c r="N2" s="643" t="s">
        <v>668</v>
      </c>
      <c r="O2" s="644"/>
    </row>
    <row r="3" spans="1:15" ht="15" customHeight="1">
      <c r="A3" s="1365" t="s">
        <v>325</v>
      </c>
      <c r="B3" s="1366"/>
      <c r="C3" s="1366"/>
      <c r="D3" s="1366"/>
      <c r="E3" s="1367"/>
      <c r="J3" s="645">
        <f>+'VII. Impresión'!AO21</f>
        <v>0</v>
      </c>
      <c r="K3" s="646"/>
      <c r="N3" s="647">
        <f>+'VII. Impresión'!AO22</f>
        <v>0</v>
      </c>
      <c r="O3" s="648"/>
    </row>
    <row r="4" spans="1:11" ht="15" customHeight="1">
      <c r="A4" s="1368" t="s">
        <v>655</v>
      </c>
      <c r="B4" s="1369"/>
      <c r="C4" s="1370"/>
      <c r="D4" s="1371" t="s">
        <v>669</v>
      </c>
      <c r="E4" s="1372" t="s">
        <v>266</v>
      </c>
      <c r="I4" s="505"/>
      <c r="J4" s="504"/>
      <c r="K4" s="506"/>
    </row>
    <row r="5" spans="1:13" ht="15" customHeight="1">
      <c r="A5" s="507" t="s">
        <v>670</v>
      </c>
      <c r="B5" s="508" t="s">
        <v>671</v>
      </c>
      <c r="C5" s="509" t="s">
        <v>672</v>
      </c>
      <c r="D5" s="510"/>
      <c r="E5" s="511"/>
      <c r="L5" s="1373" t="s">
        <v>673</v>
      </c>
      <c r="M5" s="1374"/>
    </row>
    <row r="6" spans="1:13" ht="15" customHeight="1">
      <c r="A6" s="507" t="s">
        <v>385</v>
      </c>
      <c r="B6" s="512" t="s">
        <v>674</v>
      </c>
      <c r="C6" s="509" t="s">
        <v>675</v>
      </c>
      <c r="D6" s="510"/>
      <c r="E6" s="511"/>
      <c r="K6" s="481"/>
      <c r="L6" s="1375">
        <f>+'VII. Impresión'!AO35</f>
        <v>0</v>
      </c>
      <c r="M6" s="1376"/>
    </row>
    <row r="7" spans="1:13" ht="15" customHeight="1">
      <c r="A7" s="513" t="s">
        <v>7</v>
      </c>
      <c r="B7" s="514" t="s">
        <v>7</v>
      </c>
      <c r="C7" s="515" t="s">
        <v>7</v>
      </c>
      <c r="D7" s="516" t="s">
        <v>7</v>
      </c>
      <c r="E7" s="516" t="s">
        <v>7</v>
      </c>
      <c r="K7" s="481"/>
      <c r="L7" s="481"/>
      <c r="M7" s="481"/>
    </row>
    <row r="8" spans="1:13" ht="15" customHeight="1">
      <c r="A8" s="475">
        <f>+'VII. Impresión'!AN4</f>
        <v>0</v>
      </c>
      <c r="B8" s="477">
        <f>+'VII. Impresión'!AN5</f>
        <v>0</v>
      </c>
      <c r="C8" s="477">
        <f>+'VII. Impresión'!AN6</f>
        <v>0</v>
      </c>
      <c r="D8" s="477">
        <f>+'VII. Impresión'!AO23</f>
        <v>0</v>
      </c>
      <c r="E8" s="423">
        <f>+'VII. Impresión'!AO36</f>
        <v>0</v>
      </c>
      <c r="J8" s="649" t="s">
        <v>676</v>
      </c>
      <c r="K8" s="650"/>
      <c r="L8" s="481"/>
      <c r="M8" s="481"/>
    </row>
    <row r="9" spans="1:11" ht="15" customHeight="1">
      <c r="A9" s="517" t="s">
        <v>677</v>
      </c>
      <c r="B9" s="1377"/>
      <c r="C9" s="518"/>
      <c r="D9" s="1377"/>
      <c r="E9" s="1378">
        <f>+'VII. Impresión'!AM36</f>
        <v>0</v>
      </c>
      <c r="J9" s="647">
        <f>+'VII. Impresión'!AO40</f>
        <v>0</v>
      </c>
      <c r="K9" s="648"/>
    </row>
    <row r="10" ht="15" customHeight="1"/>
    <row r="11" spans="1:13" ht="15" customHeight="1">
      <c r="A11" s="1365" t="s">
        <v>678</v>
      </c>
      <c r="B11" s="1366"/>
      <c r="C11" s="1366"/>
      <c r="D11" s="1367"/>
      <c r="E11" s="1379"/>
      <c r="L11" s="1373" t="s">
        <v>679</v>
      </c>
      <c r="M11" s="1374"/>
    </row>
    <row r="12" spans="1:13" ht="15" customHeight="1">
      <c r="A12" s="1368" t="s">
        <v>655</v>
      </c>
      <c r="B12" s="1369"/>
      <c r="C12" s="1380" t="s">
        <v>669</v>
      </c>
      <c r="D12" s="1381" t="s">
        <v>266</v>
      </c>
      <c r="L12" s="1375">
        <f>+'VII. Impresión'!AO43</f>
        <v>0</v>
      </c>
      <c r="M12" s="1382"/>
    </row>
    <row r="13" spans="1:4" ht="15" customHeight="1">
      <c r="A13" s="519" t="s">
        <v>671</v>
      </c>
      <c r="B13" s="508" t="s">
        <v>672</v>
      </c>
      <c r="C13" s="520"/>
      <c r="D13" s="511"/>
    </row>
    <row r="14" spans="1:11" ht="15" customHeight="1">
      <c r="A14" s="521" t="s">
        <v>674</v>
      </c>
      <c r="B14" s="508" t="s">
        <v>675</v>
      </c>
      <c r="C14" s="520"/>
      <c r="D14" s="511"/>
      <c r="J14" s="649" t="s">
        <v>680</v>
      </c>
      <c r="K14" s="650"/>
    </row>
    <row r="15" spans="1:11" ht="15" customHeight="1">
      <c r="A15" s="507" t="s">
        <v>7</v>
      </c>
      <c r="B15" s="522" t="s">
        <v>7</v>
      </c>
      <c r="C15" s="507" t="s">
        <v>7</v>
      </c>
      <c r="D15" s="511" t="s">
        <v>7</v>
      </c>
      <c r="J15" s="647">
        <f>+'VII. Impresión'!AN44</f>
        <v>0</v>
      </c>
      <c r="K15" s="651"/>
    </row>
    <row r="16" spans="1:6" ht="15" customHeight="1">
      <c r="A16" s="523">
        <f>+'VII. Impresión'!AN8</f>
        <v>0</v>
      </c>
      <c r="B16" s="524">
        <f>+'VII. Impresión'!AN9</f>
        <v>0</v>
      </c>
      <c r="C16" s="477">
        <f>+'VII. Impresión'!AO24</f>
        <v>0</v>
      </c>
      <c r="D16" s="525">
        <f>+'VII. Impresión'!AO37</f>
        <v>0</v>
      </c>
      <c r="F16" s="481"/>
    </row>
    <row r="17" spans="1:14" ht="15" customHeight="1">
      <c r="A17" s="526" t="s">
        <v>681</v>
      </c>
      <c r="B17" s="1383"/>
      <c r="C17" s="527"/>
      <c r="D17" s="1384">
        <f>+'VII. Impresión'!AM37</f>
        <v>0</v>
      </c>
      <c r="F17" s="481"/>
      <c r="K17" s="1373" t="s">
        <v>682</v>
      </c>
      <c r="L17" s="939"/>
      <c r="M17" s="939"/>
      <c r="N17" s="1374"/>
    </row>
    <row r="18" spans="1:14" ht="15" customHeight="1">
      <c r="A18" s="528"/>
      <c r="B18" s="481"/>
      <c r="C18" s="481"/>
      <c r="D18" s="481"/>
      <c r="E18" s="492"/>
      <c r="F18" s="481"/>
      <c r="K18" s="1375">
        <f>+'VII. Impresión'!AO46</f>
        <v>0</v>
      </c>
      <c r="L18" s="1375"/>
      <c r="M18" s="940"/>
      <c r="N18" s="1376"/>
    </row>
    <row r="19" spans="1:14" ht="15" customHeight="1">
      <c r="A19" s="1365" t="s">
        <v>683</v>
      </c>
      <c r="B19" s="1366"/>
      <c r="C19" s="1366"/>
      <c r="D19" s="1367"/>
      <c r="F19" s="481"/>
      <c r="L19" s="529"/>
      <c r="M19" s="529"/>
      <c r="N19" s="529"/>
    </row>
    <row r="20" spans="1:11" ht="15" customHeight="1">
      <c r="A20" s="1385" t="s">
        <v>684</v>
      </c>
      <c r="B20" s="1386" t="s">
        <v>655</v>
      </c>
      <c r="C20" s="1385" t="s">
        <v>685</v>
      </c>
      <c r="D20" s="1372" t="s">
        <v>266</v>
      </c>
      <c r="E20" s="481"/>
      <c r="J20" s="649" t="s">
        <v>686</v>
      </c>
      <c r="K20" s="650"/>
    </row>
    <row r="21" spans="1:11" ht="15" customHeight="1">
      <c r="A21" s="516"/>
      <c r="B21" s="530" t="s">
        <v>7</v>
      </c>
      <c r="C21" s="531" t="s">
        <v>7</v>
      </c>
      <c r="D21" s="532" t="s">
        <v>7</v>
      </c>
      <c r="E21" s="481"/>
      <c r="J21" s="1647">
        <f>+'VII. Impresión'!AN48</f>
        <v>0</v>
      </c>
      <c r="K21" s="1648"/>
    </row>
    <row r="22" spans="1:4" ht="15" customHeight="1">
      <c r="A22" s="533" t="str">
        <f>+'VII. Impresión'!CS35</f>
        <v>XXX</v>
      </c>
      <c r="B22" s="534">
        <f>+'VII. Impresión'!CT35</f>
        <v>0</v>
      </c>
      <c r="C22" s="480">
        <f>+'VII. Impresión'!CV35</f>
        <v>0</v>
      </c>
      <c r="D22" s="534">
        <f>+'VII. Impresión'!CU35</f>
        <v>0</v>
      </c>
    </row>
    <row r="23" spans="1:13" ht="15" customHeight="1">
      <c r="A23" s="533" t="str">
        <f>+'VII. Impresión'!CS36</f>
        <v>XXX</v>
      </c>
      <c r="B23" s="535">
        <f>+'VII. Impresión'!CT36</f>
        <v>0</v>
      </c>
      <c r="C23" s="536">
        <f>+'VII. Impresión'!CV36</f>
        <v>0</v>
      </c>
      <c r="D23" s="535">
        <f>+'VII. Impresión'!CU36</f>
        <v>0</v>
      </c>
      <c r="L23" s="1387" t="s">
        <v>687</v>
      </c>
      <c r="M23" s="439"/>
    </row>
    <row r="24" spans="1:13" ht="15" customHeight="1">
      <c r="A24" s="533" t="str">
        <f>+'VII. Impresión'!CS37</f>
        <v>XXX</v>
      </c>
      <c r="B24" s="535">
        <f>+'VII. Impresión'!CT37</f>
        <v>0</v>
      </c>
      <c r="C24" s="536">
        <f>+'VII. Impresión'!CV37</f>
        <v>0</v>
      </c>
      <c r="D24" s="535">
        <f>+'VII. Impresión'!CU37</f>
        <v>0</v>
      </c>
      <c r="L24" s="1375">
        <f>+K18-J21</f>
        <v>0</v>
      </c>
      <c r="M24" s="1376"/>
    </row>
    <row r="25" spans="1:4" ht="15" customHeight="1">
      <c r="A25" s="533" t="str">
        <f>+'VII. Impresión'!CS38</f>
        <v>XXX</v>
      </c>
      <c r="B25" s="535">
        <f>+'VII. Impresión'!CT38</f>
        <v>0</v>
      </c>
      <c r="C25" s="536">
        <f>+'VII. Impresión'!CV38</f>
        <v>0</v>
      </c>
      <c r="D25" s="535">
        <f>+'VII. Impresión'!CU38</f>
        <v>0</v>
      </c>
    </row>
    <row r="26" spans="1:11" ht="15" customHeight="1">
      <c r="A26" s="533" t="str">
        <f>+'VII. Impresión'!CS39</f>
        <v>XXX</v>
      </c>
      <c r="B26" s="535">
        <f>+'VII. Impresión'!CT39</f>
        <v>0</v>
      </c>
      <c r="C26" s="536">
        <f>+'VII. Impresión'!CV39</f>
        <v>0</v>
      </c>
      <c r="D26" s="535">
        <f>+'VII. Impresión'!CU39</f>
        <v>0</v>
      </c>
      <c r="J26" s="649" t="s">
        <v>688</v>
      </c>
      <c r="K26" s="650"/>
    </row>
    <row r="27" spans="1:11" ht="15" customHeight="1">
      <c r="A27" s="533" t="str">
        <f>+'VII. Impresión'!CS40</f>
        <v>XXX</v>
      </c>
      <c r="B27" s="535">
        <f>+'VII. Impresión'!CT40</f>
        <v>0</v>
      </c>
      <c r="C27" s="536">
        <f>+'VII. Impresión'!CV40</f>
        <v>0</v>
      </c>
      <c r="D27" s="535">
        <f>+'VII. Impresión'!CU40</f>
        <v>0</v>
      </c>
      <c r="J27" s="652" t="s">
        <v>689</v>
      </c>
      <c r="K27" s="653"/>
    </row>
    <row r="28" spans="1:11" ht="15" customHeight="1">
      <c r="A28" s="533" t="str">
        <f>+'VII. Impresión'!CS41</f>
        <v>XXX</v>
      </c>
      <c r="B28" s="535">
        <f>+'VII. Impresión'!CT41</f>
        <v>0</v>
      </c>
      <c r="C28" s="536">
        <f>+'VII. Impresión'!CV41</f>
        <v>0</v>
      </c>
      <c r="D28" s="535">
        <f>+'VII. Impresión'!CU41</f>
        <v>0</v>
      </c>
      <c r="I28" s="481"/>
      <c r="J28" s="1647">
        <f>+'VII. Impresión'!AN49</f>
        <v>0</v>
      </c>
      <c r="K28" s="1648"/>
    </row>
    <row r="29" spans="1:11" ht="15" customHeight="1">
      <c r="A29" s="533" t="str">
        <f>+'VII. Impresión'!CS42</f>
        <v>XXX</v>
      </c>
      <c r="B29" s="535">
        <f>+'VII. Impresión'!CT42</f>
        <v>0</v>
      </c>
      <c r="C29" s="536">
        <f>+'VII. Impresión'!CV42</f>
        <v>0</v>
      </c>
      <c r="D29" s="535">
        <f>+'VII. Impresión'!CU42</f>
        <v>0</v>
      </c>
      <c r="I29" s="481"/>
      <c r="K29" s="541"/>
    </row>
    <row r="30" spans="1:14" ht="15" customHeight="1">
      <c r="A30" s="533" t="str">
        <f>+'VII. Impresión'!CS43</f>
        <v>XXX</v>
      </c>
      <c r="B30" s="535">
        <f>+'VII. Impresión'!CT43</f>
        <v>0</v>
      </c>
      <c r="C30" s="536">
        <f>+'VII. Impresión'!CV43</f>
        <v>0</v>
      </c>
      <c r="D30" s="535">
        <f>+'VII. Impresión'!CU43</f>
        <v>0</v>
      </c>
      <c r="I30" s="505"/>
      <c r="J30" s="542"/>
      <c r="K30" s="938"/>
      <c r="L30" s="939" t="s">
        <v>690</v>
      </c>
      <c r="M30" s="939"/>
      <c r="N30" s="439"/>
    </row>
    <row r="31" spans="1:14" ht="15" customHeight="1">
      <c r="A31" s="537" t="s">
        <v>691</v>
      </c>
      <c r="B31" s="538">
        <f>SUM(B22:B30)</f>
        <v>0</v>
      </c>
      <c r="C31" s="539">
        <f>SUM(C22:C30)</f>
        <v>0</v>
      </c>
      <c r="D31" s="539">
        <f>SUM(D22:D30)</f>
        <v>0</v>
      </c>
      <c r="E31" s="481"/>
      <c r="I31" s="505"/>
      <c r="J31" s="504"/>
      <c r="K31" s="1375">
        <f>+L24+J28</f>
        <v>0</v>
      </c>
      <c r="L31" s="1375"/>
      <c r="M31" s="940"/>
      <c r="N31" s="1376"/>
    </row>
    <row r="32" spans="1:12" ht="15" customHeight="1">
      <c r="A32" s="526" t="s">
        <v>692</v>
      </c>
      <c r="B32" s="540"/>
      <c r="C32" s="540"/>
      <c r="D32" s="1388">
        <f>+'VII. Impresión'!AM38</f>
        <v>0</v>
      </c>
      <c r="E32" s="1389"/>
      <c r="J32" s="544"/>
      <c r="K32" s="544"/>
      <c r="L32" s="545"/>
    </row>
    <row r="33" spans="5:13" ht="15" customHeight="1">
      <c r="E33" s="481"/>
      <c r="J33" s="542"/>
      <c r="K33" s="542"/>
      <c r="M33" s="505"/>
    </row>
    <row r="34" spans="5:14" ht="15" customHeight="1">
      <c r="E34" s="481"/>
      <c r="J34" s="1389"/>
      <c r="K34" s="546" t="s">
        <v>693</v>
      </c>
      <c r="L34" s="547"/>
      <c r="M34" s="547"/>
      <c r="N34" s="548">
        <f>+'VII. Impresión'!AO53</f>
        <v>0</v>
      </c>
    </row>
    <row r="35" spans="5:14" ht="15" customHeight="1">
      <c r="E35" s="1389"/>
      <c r="I35" s="505"/>
      <c r="J35" s="542"/>
      <c r="K35" s="550"/>
      <c r="L35" s="551"/>
      <c r="M35" s="551"/>
      <c r="N35" s="552"/>
    </row>
    <row r="36" spans="5:14" ht="15" customHeight="1">
      <c r="E36" s="481"/>
      <c r="J36" s="504"/>
      <c r="K36" s="553" t="s">
        <v>694</v>
      </c>
      <c r="L36" s="554"/>
      <c r="M36" s="554"/>
      <c r="N36" s="555">
        <f>+'VII. Impresión'!AO54</f>
        <v>0</v>
      </c>
    </row>
    <row r="37" spans="5:12" ht="15" customHeight="1">
      <c r="E37" s="1389"/>
      <c r="J37" s="1390"/>
      <c r="K37" s="541"/>
      <c r="L37" s="1390"/>
    </row>
    <row r="38" spans="5:11" ht="15" customHeight="1">
      <c r="E38" s="481"/>
      <c r="I38" s="1391" t="s">
        <v>695</v>
      </c>
      <c r="J38" s="1392"/>
      <c r="K38" s="1393" t="s">
        <v>7</v>
      </c>
    </row>
    <row r="39" spans="5:11" ht="15" customHeight="1">
      <c r="E39" s="1389"/>
      <c r="I39" s="654" t="str">
        <f>+'VII. Impresión'!AK66</f>
        <v>Gastos totales  excepto MO</v>
      </c>
      <c r="J39" s="655"/>
      <c r="K39" s="656">
        <f>+'VII. Impresión'!AM66</f>
        <v>0</v>
      </c>
    </row>
    <row r="40" spans="5:11" ht="15" customHeight="1">
      <c r="E40" s="481"/>
      <c r="I40" s="654" t="str">
        <f>+'VII. Impresión'!AK67</f>
        <v>Amortizaciones</v>
      </c>
      <c r="J40" s="657"/>
      <c r="K40" s="656">
        <f>+'VII. Impresión'!AM67</f>
        <v>0</v>
      </c>
    </row>
    <row r="41" spans="9:11" ht="15" customHeight="1">
      <c r="I41" s="654" t="str">
        <f>+'VII. Impresión'!AK68</f>
        <v>Mano de obra</v>
      </c>
      <c r="J41" s="657"/>
      <c r="K41" s="656">
        <f>+'VII. Impresión'!AM68</f>
        <v>0</v>
      </c>
    </row>
    <row r="42" spans="9:11" ht="15" customHeight="1">
      <c r="I42" s="654" t="str">
        <f>+'VII. Impresión'!AK69</f>
        <v>Retribución empresario</v>
      </c>
      <c r="J42" s="657"/>
      <c r="K42" s="656">
        <f>+'VII. Impresión'!AM69</f>
        <v>0</v>
      </c>
    </row>
    <row r="43" spans="9:11" ht="15" customHeight="1">
      <c r="I43" s="654" t="str">
        <f>+'VII. Impresión'!AK70</f>
        <v>Intereses</v>
      </c>
      <c r="J43" s="658"/>
      <c r="K43" s="656">
        <f>+'VII. Impresión'!AM70</f>
        <v>0</v>
      </c>
    </row>
    <row r="44" spans="9:11" ht="15" customHeight="1">
      <c r="I44" s="659" t="str">
        <f>+'VII. Impresión'!AK71</f>
        <v>Total</v>
      </c>
      <c r="J44" s="660"/>
      <c r="K44" s="661">
        <f>+'VII. Impresión'!AM71</f>
        <v>0</v>
      </c>
    </row>
    <row r="45" ht="15" customHeight="1"/>
    <row r="65" spans="4:5" ht="12.75">
      <c r="D65" s="557"/>
      <c r="E65" s="557"/>
    </row>
    <row r="66" ht="12.75">
      <c r="E66" s="557"/>
    </row>
    <row r="67" ht="12.75">
      <c r="E67" s="557"/>
    </row>
    <row r="68" ht="12.75">
      <c r="E68" s="557"/>
    </row>
    <row r="69" ht="12.75">
      <c r="E69" s="557"/>
    </row>
    <row r="70" ht="12.75">
      <c r="E70" s="557"/>
    </row>
    <row r="73" spans="1:5" ht="12.75">
      <c r="A73" s="712"/>
      <c r="B73" s="712"/>
      <c r="C73" s="712"/>
      <c r="D73" s="712"/>
      <c r="E73" s="712"/>
    </row>
    <row r="74" spans="1:5" ht="12.75">
      <c r="A74" s="712"/>
      <c r="B74" s="712"/>
      <c r="C74" s="712"/>
      <c r="D74" s="712"/>
      <c r="E74" s="712"/>
    </row>
    <row r="75" spans="1:5" ht="12.75">
      <c r="A75" s="712"/>
      <c r="B75" s="712"/>
      <c r="C75" s="712"/>
      <c r="D75" s="712"/>
      <c r="E75" s="712"/>
    </row>
    <row r="76" spans="1:5" ht="12.75">
      <c r="A76" s="712"/>
      <c r="B76" s="712"/>
      <c r="C76" s="712"/>
      <c r="D76" s="712"/>
      <c r="E76" s="712"/>
    </row>
    <row r="77" spans="1:5" ht="12.75">
      <c r="A77" s="712"/>
      <c r="B77" s="712"/>
      <c r="C77" s="712"/>
      <c r="D77" s="712"/>
      <c r="E77" s="1394"/>
    </row>
    <row r="78" spans="1:5" ht="12.75">
      <c r="A78" s="711"/>
      <c r="B78" s="711" t="s">
        <v>696</v>
      </c>
      <c r="C78" s="711" t="s">
        <v>697</v>
      </c>
      <c r="D78" s="711"/>
      <c r="E78" s="711"/>
    </row>
    <row r="79" spans="1:5" ht="12.75">
      <c r="A79" s="712" t="s">
        <v>329</v>
      </c>
      <c r="B79" s="712">
        <f>+'V. Indicadores'!V79</f>
        <v>0</v>
      </c>
      <c r="C79" s="711">
        <f>-IF('VII. Impresión'!DC12=0,0,+D8/'VII. Impresión'!DC12)</f>
        <v>0</v>
      </c>
      <c r="D79" s="711"/>
      <c r="E79" s="931"/>
    </row>
    <row r="80" spans="1:5" ht="12.75">
      <c r="A80" s="712" t="s">
        <v>330</v>
      </c>
      <c r="B80" s="712">
        <f>+'V. Indicadores'!V91</f>
        <v>0</v>
      </c>
      <c r="C80" s="718">
        <f>-IF('VII. Impresión'!DF12=0,0,C16/'VII. Impresión'!DF12)</f>
        <v>0</v>
      </c>
      <c r="D80" s="1394"/>
      <c r="E80" s="931"/>
    </row>
    <row r="81" spans="1:5" ht="12.75">
      <c r="A81" s="712" t="str">
        <f aca="true" t="shared" si="0" ref="A81:A89">+A22</f>
        <v>XXX</v>
      </c>
      <c r="B81" s="712">
        <f>+'VII. Impresión'!CW18</f>
        <v>0</v>
      </c>
      <c r="C81" s="711">
        <f>-'VII. Impresión'!CX18</f>
        <v>0</v>
      </c>
      <c r="D81" s="711"/>
      <c r="E81" s="718"/>
    </row>
    <row r="82" spans="1:5" ht="12.75">
      <c r="A82" s="712" t="str">
        <f t="shared" si="0"/>
        <v>XXX</v>
      </c>
      <c r="B82" s="712">
        <f>+'VII. Impresión'!CW19</f>
        <v>0</v>
      </c>
      <c r="C82" s="711">
        <f>-'VII. Impresión'!CX19</f>
        <v>0</v>
      </c>
      <c r="D82" s="1394"/>
      <c r="E82" s="722"/>
    </row>
    <row r="83" spans="1:5" ht="12.75">
      <c r="A83" s="712" t="str">
        <f t="shared" si="0"/>
        <v>XXX</v>
      </c>
      <c r="B83" s="712">
        <f>+'VII. Impresión'!CW20</f>
        <v>0</v>
      </c>
      <c r="C83" s="711">
        <f>-'VII. Impresión'!CX20</f>
        <v>0</v>
      </c>
      <c r="D83" s="711"/>
      <c r="E83" s="721"/>
    </row>
    <row r="84" spans="1:5" ht="12.75">
      <c r="A84" s="712" t="str">
        <f t="shared" si="0"/>
        <v>XXX</v>
      </c>
      <c r="B84" s="712">
        <f>+'VII. Impresión'!CW21</f>
        <v>0</v>
      </c>
      <c r="C84" s="711">
        <f>-'VII. Impresión'!CX21</f>
        <v>0</v>
      </c>
      <c r="D84" s="1394"/>
      <c r="E84" s="721"/>
    </row>
    <row r="85" spans="1:5" ht="12.75">
      <c r="A85" s="712" t="str">
        <f t="shared" si="0"/>
        <v>XXX</v>
      </c>
      <c r="B85" s="712">
        <f>+'VII. Impresión'!CW22</f>
        <v>0</v>
      </c>
      <c r="C85" s="711">
        <f>-'VII. Impresión'!CX22</f>
        <v>0</v>
      </c>
      <c r="D85" s="711"/>
      <c r="E85" s="721"/>
    </row>
    <row r="86" spans="1:5" ht="12.75">
      <c r="A86" s="712" t="str">
        <f t="shared" si="0"/>
        <v>XXX</v>
      </c>
      <c r="B86" s="712">
        <f>+'VII. Impresión'!CW23</f>
        <v>0</v>
      </c>
      <c r="C86" s="711">
        <f>-'VII. Impresión'!CX23</f>
        <v>0</v>
      </c>
      <c r="D86" s="1394"/>
      <c r="E86" s="721"/>
    </row>
    <row r="87" spans="1:5" ht="12.75">
      <c r="A87" s="712" t="str">
        <f t="shared" si="0"/>
        <v>XXX</v>
      </c>
      <c r="B87" s="712">
        <f>+'VII. Impresión'!CW24</f>
        <v>0</v>
      </c>
      <c r="C87" s="711">
        <f>-'VII. Impresión'!CX24</f>
        <v>0</v>
      </c>
      <c r="D87" s="711"/>
      <c r="E87" s="721"/>
    </row>
    <row r="88" spans="1:5" ht="12.75">
      <c r="A88" s="712" t="str">
        <f t="shared" si="0"/>
        <v>XXX</v>
      </c>
      <c r="B88" s="712">
        <f>+'VII. Impresión'!CW25</f>
        <v>0</v>
      </c>
      <c r="C88" s="711">
        <f>-'VII. Impresión'!CX25</f>
        <v>0</v>
      </c>
      <c r="D88" s="719"/>
      <c r="E88" s="721"/>
    </row>
    <row r="89" spans="1:5" ht="12.75">
      <c r="A89" s="712" t="str">
        <f t="shared" si="0"/>
        <v>XXX</v>
      </c>
      <c r="B89" s="712">
        <f>+'VII. Impresión'!CW26</f>
        <v>0</v>
      </c>
      <c r="C89" s="711">
        <f>-'VII. Impresión'!CX26</f>
        <v>0</v>
      </c>
      <c r="D89" s="719"/>
      <c r="E89" s="721"/>
    </row>
    <row r="90" spans="1:5" ht="12.75">
      <c r="A90" s="712"/>
      <c r="B90" s="712"/>
      <c r="C90" s="711"/>
      <c r="D90" s="711"/>
      <c r="E90" s="932"/>
    </row>
    <row r="91" spans="1:5" ht="12.75">
      <c r="A91" s="933"/>
      <c r="B91" s="933"/>
      <c r="C91" s="934"/>
      <c r="D91" s="935"/>
      <c r="E91" s="932"/>
    </row>
    <row r="92" spans="1:5" ht="12.75">
      <c r="A92" s="933"/>
      <c r="B92" s="933"/>
      <c r="C92" s="934"/>
      <c r="D92" s="936"/>
      <c r="E92" s="712"/>
    </row>
    <row r="93" spans="1:5" ht="12.75">
      <c r="A93" s="934"/>
      <c r="B93" s="934"/>
      <c r="C93" s="934"/>
      <c r="D93" s="936"/>
      <c r="E93" s="712"/>
    </row>
    <row r="94" spans="1:5" ht="12.75">
      <c r="A94" s="934"/>
      <c r="B94" s="934"/>
      <c r="C94" s="934"/>
      <c r="D94" s="936"/>
      <c r="E94" s="712"/>
    </row>
    <row r="95" spans="1:5" ht="12.75">
      <c r="A95" s="934" t="str">
        <f>+'VII. Impresión'!AK69</f>
        <v>Retribución empresario</v>
      </c>
      <c r="B95" s="934"/>
      <c r="C95" s="934">
        <f>+'VII. Impresión'!AM69</f>
        <v>0</v>
      </c>
      <c r="D95" s="936">
        <f>+'VII. Impresión'!AN69</f>
        <v>0</v>
      </c>
      <c r="E95" s="712"/>
    </row>
    <row r="96" spans="1:5" ht="12.75">
      <c r="A96" s="934" t="str">
        <f>+'VII. Impresión'!AK70</f>
        <v>Intereses</v>
      </c>
      <c r="B96" s="934"/>
      <c r="C96" s="934">
        <f>+'VII. Impresión'!AM70</f>
        <v>0</v>
      </c>
      <c r="D96" s="936">
        <f>+'VII. Impresión'!AN70</f>
        <v>0</v>
      </c>
      <c r="E96" s="712"/>
    </row>
    <row r="97" spans="1:5" ht="12.75">
      <c r="A97" s="934" t="str">
        <f>+'VII. Impresión'!AK71</f>
        <v>Total</v>
      </c>
      <c r="B97" s="934"/>
      <c r="C97" s="934">
        <f>+'VII. Impresión'!AM71</f>
        <v>0</v>
      </c>
      <c r="D97" s="936"/>
      <c r="E97" s="712"/>
    </row>
    <row r="98" spans="1:5" ht="12.75">
      <c r="A98" s="934"/>
      <c r="B98" s="934"/>
      <c r="C98" s="934"/>
      <c r="D98" s="934"/>
      <c r="E98" s="712"/>
    </row>
    <row r="99" spans="1:5" ht="12.75">
      <c r="A99" s="933"/>
      <c r="B99" s="933"/>
      <c r="C99" s="933"/>
      <c r="D99" s="933"/>
      <c r="E99" s="712"/>
    </row>
    <row r="100" spans="1:5" ht="12.75">
      <c r="A100" s="933"/>
      <c r="B100" s="933"/>
      <c r="C100" s="933"/>
      <c r="D100" s="937"/>
      <c r="E100" s="932"/>
    </row>
    <row r="101" spans="1:5" ht="12.75">
      <c r="A101" s="933"/>
      <c r="B101" s="933"/>
      <c r="C101" s="933"/>
      <c r="D101" s="933"/>
      <c r="E101" s="712"/>
    </row>
    <row r="102" spans="1:5" ht="12.75">
      <c r="A102" s="933"/>
      <c r="B102" s="933"/>
      <c r="C102" s="933"/>
      <c r="D102" s="933"/>
      <c r="E102" s="712"/>
    </row>
    <row r="103" spans="1:5" ht="12.75">
      <c r="A103" s="933"/>
      <c r="B103" s="933"/>
      <c r="C103" s="933"/>
      <c r="D103" s="933"/>
      <c r="E103" s="712"/>
    </row>
    <row r="104" spans="1:5" ht="12.75">
      <c r="A104" s="933"/>
      <c r="B104" s="933"/>
      <c r="C104" s="933"/>
      <c r="D104" s="933"/>
      <c r="E104" s="712"/>
    </row>
    <row r="105" spans="1:5" ht="12.75">
      <c r="A105" s="933"/>
      <c r="B105" s="933"/>
      <c r="C105" s="933"/>
      <c r="D105" s="933"/>
      <c r="E105" s="712"/>
    </row>
    <row r="106" spans="1:5" ht="12.75">
      <c r="A106" s="933"/>
      <c r="B106" s="933"/>
      <c r="C106" s="933"/>
      <c r="D106" s="933"/>
      <c r="E106" s="712"/>
    </row>
    <row r="107" spans="1:5" ht="12.75">
      <c r="A107" s="933"/>
      <c r="B107" s="933"/>
      <c r="C107" s="933"/>
      <c r="D107" s="933"/>
      <c r="E107" s="712"/>
    </row>
    <row r="108" spans="1:5" ht="12.75">
      <c r="A108" s="933"/>
      <c r="B108" s="933"/>
      <c r="C108" s="933"/>
      <c r="D108" s="933"/>
      <c r="E108" s="712"/>
    </row>
    <row r="109" spans="1:5" ht="12.75">
      <c r="A109" s="933"/>
      <c r="B109" s="933"/>
      <c r="C109" s="933"/>
      <c r="D109" s="933"/>
      <c r="E109" s="712"/>
    </row>
    <row r="110" spans="1:5" ht="12.75">
      <c r="A110" s="933"/>
      <c r="B110" s="933"/>
      <c r="C110" s="933"/>
      <c r="D110" s="933"/>
      <c r="E110" s="712"/>
    </row>
    <row r="111" spans="1:5" ht="12.75">
      <c r="A111" s="933"/>
      <c r="B111" s="933"/>
      <c r="C111" s="933"/>
      <c r="D111" s="933"/>
      <c r="E111" s="712"/>
    </row>
    <row r="112" spans="1:5" ht="12.75">
      <c r="A112" s="933"/>
      <c r="B112" s="933"/>
      <c r="C112" s="933"/>
      <c r="D112" s="933"/>
      <c r="E112" s="712"/>
    </row>
    <row r="113" spans="1:5" ht="12.75">
      <c r="A113" s="933"/>
      <c r="B113" s="933"/>
      <c r="C113" s="933"/>
      <c r="D113" s="933"/>
      <c r="E113" s="712"/>
    </row>
    <row r="114" spans="1:5" ht="12.75">
      <c r="A114" s="933"/>
      <c r="B114" s="933"/>
      <c r="C114" s="933"/>
      <c r="D114" s="933"/>
      <c r="E114" s="712"/>
    </row>
    <row r="115" spans="1:5" ht="12.75">
      <c r="A115" s="933"/>
      <c r="B115" s="933"/>
      <c r="C115" s="933"/>
      <c r="D115" s="933"/>
      <c r="E115" s="712"/>
    </row>
    <row r="116" spans="1:5" ht="12.75">
      <c r="A116" s="933"/>
      <c r="B116" s="933"/>
      <c r="C116" s="933"/>
      <c r="D116" s="933"/>
      <c r="E116" s="712"/>
    </row>
    <row r="117" spans="1:5" ht="12.75">
      <c r="A117" s="933"/>
      <c r="B117" s="933"/>
      <c r="C117" s="933"/>
      <c r="D117" s="933"/>
      <c r="E117" s="712"/>
    </row>
    <row r="118" spans="1:5" ht="12.75">
      <c r="A118" s="933"/>
      <c r="B118" s="933"/>
      <c r="C118" s="933"/>
      <c r="D118" s="933"/>
      <c r="E118" s="712"/>
    </row>
    <row r="119" spans="1:5" ht="12.75">
      <c r="A119" s="933"/>
      <c r="B119" s="933"/>
      <c r="C119" s="933"/>
      <c r="D119" s="933"/>
      <c r="E119" s="712"/>
    </row>
    <row r="120" spans="1:5" ht="12.75">
      <c r="A120" s="933"/>
      <c r="B120" s="933"/>
      <c r="C120" s="933"/>
      <c r="D120" s="933"/>
      <c r="E120" s="712"/>
    </row>
    <row r="121" spans="1:5" ht="12.75">
      <c r="A121" s="933"/>
      <c r="B121" s="933"/>
      <c r="C121" s="933"/>
      <c r="D121" s="933"/>
      <c r="E121" s="712"/>
    </row>
    <row r="122" spans="1:5" ht="12.75">
      <c r="A122" s="933"/>
      <c r="B122" s="933"/>
      <c r="C122" s="933"/>
      <c r="D122" s="933"/>
      <c r="E122" s="712"/>
    </row>
    <row r="123" spans="1:5" ht="12.75">
      <c r="A123" s="933"/>
      <c r="B123" s="933"/>
      <c r="C123" s="933"/>
      <c r="D123" s="933"/>
      <c r="E123" s="712"/>
    </row>
    <row r="124" spans="1:5" ht="12.75">
      <c r="A124" s="933"/>
      <c r="B124" s="933"/>
      <c r="C124" s="933"/>
      <c r="D124" s="933"/>
      <c r="E124" s="712"/>
    </row>
    <row r="125" spans="1:5" ht="12.75">
      <c r="A125" s="933"/>
      <c r="B125" s="933"/>
      <c r="C125" s="933"/>
      <c r="D125" s="933"/>
      <c r="E125" s="712"/>
    </row>
    <row r="126" spans="1:5" ht="12.75">
      <c r="A126" s="933"/>
      <c r="B126" s="933"/>
      <c r="C126" s="933"/>
      <c r="D126" s="933"/>
      <c r="E126" s="712"/>
    </row>
    <row r="127" spans="1:5" ht="12.75">
      <c r="A127" s="933"/>
      <c r="B127" s="933"/>
      <c r="C127" s="933"/>
      <c r="D127" s="933"/>
      <c r="E127" s="712"/>
    </row>
    <row r="128" spans="1:5" ht="12.75">
      <c r="A128" s="933"/>
      <c r="B128" s="933"/>
      <c r="C128" s="933"/>
      <c r="D128" s="933"/>
      <c r="E128" s="712"/>
    </row>
    <row r="129" spans="1:5" ht="12.75">
      <c r="A129" s="933"/>
      <c r="B129" s="933"/>
      <c r="C129" s="933"/>
      <c r="D129" s="933"/>
      <c r="E129" s="712"/>
    </row>
    <row r="130" spans="1:5" ht="12.75">
      <c r="A130" s="933"/>
      <c r="B130" s="933"/>
      <c r="C130" s="933"/>
      <c r="D130" s="933"/>
      <c r="E130" s="712"/>
    </row>
    <row r="131" spans="1:5" ht="12.75">
      <c r="A131" s="933"/>
      <c r="B131" s="933"/>
      <c r="C131" s="933"/>
      <c r="D131" s="933"/>
      <c r="E131" s="712"/>
    </row>
    <row r="132" spans="1:5" ht="12.75">
      <c r="A132" s="933"/>
      <c r="B132" s="933"/>
      <c r="C132" s="933"/>
      <c r="D132" s="933"/>
      <c r="E132" s="712"/>
    </row>
    <row r="133" spans="1:5" ht="12.75">
      <c r="A133" s="933"/>
      <c r="B133" s="933"/>
      <c r="C133" s="933"/>
      <c r="D133" s="933"/>
      <c r="E133" s="712"/>
    </row>
    <row r="134" spans="1:5" ht="12.75">
      <c r="A134" s="933"/>
      <c r="B134" s="933"/>
      <c r="C134" s="933"/>
      <c r="D134" s="933"/>
      <c r="E134" s="712"/>
    </row>
    <row r="135" spans="1:5" ht="12.75">
      <c r="A135" s="933"/>
      <c r="B135" s="933"/>
      <c r="C135" s="933"/>
      <c r="D135" s="933"/>
      <c r="E135" s="712"/>
    </row>
    <row r="136" spans="1:5" ht="12.75">
      <c r="A136" s="933"/>
      <c r="B136" s="933"/>
      <c r="C136" s="933"/>
      <c r="D136" s="933"/>
      <c r="E136" s="712"/>
    </row>
    <row r="137" spans="1:5" ht="12.75">
      <c r="A137" s="933"/>
      <c r="B137" s="933"/>
      <c r="C137" s="933"/>
      <c r="D137" s="933"/>
      <c r="E137" s="712"/>
    </row>
    <row r="138" spans="1:5" ht="12.75">
      <c r="A138" s="933"/>
      <c r="B138" s="933"/>
      <c r="C138" s="933"/>
      <c r="D138" s="933"/>
      <c r="E138" s="712"/>
    </row>
    <row r="139" spans="1:5" ht="12.75">
      <c r="A139" s="933"/>
      <c r="B139" s="933"/>
      <c r="C139" s="933"/>
      <c r="D139" s="933"/>
      <c r="E139" s="712"/>
    </row>
    <row r="140" spans="1:5" ht="12.75">
      <c r="A140" s="933"/>
      <c r="B140" s="933"/>
      <c r="C140" s="933"/>
      <c r="D140" s="933"/>
      <c r="E140" s="712"/>
    </row>
    <row r="141" spans="1:5" ht="12.75">
      <c r="A141" s="933"/>
      <c r="B141" s="933"/>
      <c r="C141" s="933"/>
      <c r="D141" s="933"/>
      <c r="E141" s="712"/>
    </row>
    <row r="142" spans="1:5" ht="12.75">
      <c r="A142" s="933"/>
      <c r="B142" s="933"/>
      <c r="C142" s="933"/>
      <c r="D142" s="933"/>
      <c r="E142" s="712"/>
    </row>
    <row r="143" spans="1:5" ht="12.75">
      <c r="A143" s="933"/>
      <c r="B143" s="933"/>
      <c r="C143" s="933"/>
      <c r="D143" s="933"/>
      <c r="E143" s="712"/>
    </row>
    <row r="144" spans="1:5" ht="12.75">
      <c r="A144" s="933"/>
      <c r="B144" s="933"/>
      <c r="C144" s="933"/>
      <c r="D144" s="933"/>
      <c r="E144" s="712"/>
    </row>
    <row r="145" spans="1:5" ht="12.75">
      <c r="A145" s="933"/>
      <c r="B145" s="933"/>
      <c r="C145" s="933"/>
      <c r="D145" s="933"/>
      <c r="E145" s="712"/>
    </row>
    <row r="146" spans="1:5" ht="12.75">
      <c r="A146" s="933"/>
      <c r="B146" s="933"/>
      <c r="C146" s="933"/>
      <c r="D146" s="933"/>
      <c r="E146" s="712"/>
    </row>
    <row r="147" spans="1:5" ht="12.75">
      <c r="A147" s="933"/>
      <c r="B147" s="933"/>
      <c r="C147" s="933"/>
      <c r="D147" s="933"/>
      <c r="E147" s="712"/>
    </row>
    <row r="148" spans="1:5" ht="12.75">
      <c r="A148" s="933"/>
      <c r="B148" s="933"/>
      <c r="C148" s="933"/>
      <c r="D148" s="933"/>
      <c r="E148" s="712"/>
    </row>
    <row r="149" spans="1:5" ht="12.75">
      <c r="A149" s="933"/>
      <c r="B149" s="933"/>
      <c r="C149" s="933"/>
      <c r="D149" s="933"/>
      <c r="E149" s="712"/>
    </row>
    <row r="150" spans="1:5" ht="12.75">
      <c r="A150" s="933"/>
      <c r="B150" s="933"/>
      <c r="C150" s="933"/>
      <c r="D150" s="933"/>
      <c r="E150" s="712"/>
    </row>
    <row r="151" spans="1:5" ht="12.75">
      <c r="A151" s="933"/>
      <c r="B151" s="933"/>
      <c r="C151" s="933"/>
      <c r="D151" s="933"/>
      <c r="E151" s="712"/>
    </row>
    <row r="152" spans="1:5" ht="12.75">
      <c r="A152" s="933"/>
      <c r="B152" s="933"/>
      <c r="C152" s="933"/>
      <c r="D152" s="933"/>
      <c r="E152" s="712"/>
    </row>
    <row r="153" spans="1:5" ht="12.75">
      <c r="A153" s="933"/>
      <c r="B153" s="933"/>
      <c r="C153" s="933"/>
      <c r="D153" s="933"/>
      <c r="E153" s="712"/>
    </row>
    <row r="154" spans="1:5" ht="12.75">
      <c r="A154" s="933"/>
      <c r="B154" s="933"/>
      <c r="C154" s="933"/>
      <c r="D154" s="933"/>
      <c r="E154" s="712"/>
    </row>
    <row r="155" spans="1:5" ht="12.75">
      <c r="A155" s="933"/>
      <c r="B155" s="933"/>
      <c r="C155" s="933"/>
      <c r="D155" s="933"/>
      <c r="E155" s="712"/>
    </row>
    <row r="156" spans="1:5" ht="12.75">
      <c r="A156" s="933"/>
      <c r="B156" s="933"/>
      <c r="C156" s="933"/>
      <c r="D156" s="933"/>
      <c r="E156" s="712"/>
    </row>
    <row r="157" spans="1:5" ht="12.75">
      <c r="A157" s="933"/>
      <c r="B157" s="933"/>
      <c r="C157" s="933"/>
      <c r="D157" s="933"/>
      <c r="E157" s="712"/>
    </row>
    <row r="158" spans="1:5" ht="12.75">
      <c r="A158" s="933"/>
      <c r="B158" s="933"/>
      <c r="C158" s="933"/>
      <c r="D158" s="933"/>
      <c r="E158" s="712"/>
    </row>
    <row r="159" spans="1:5" ht="12.75">
      <c r="A159" s="933"/>
      <c r="B159" s="933"/>
      <c r="C159" s="933"/>
      <c r="D159" s="933"/>
      <c r="E159" s="712"/>
    </row>
    <row r="160" spans="1:5" ht="12.75">
      <c r="A160" s="933"/>
      <c r="B160" s="933"/>
      <c r="C160" s="933"/>
      <c r="D160" s="933"/>
      <c r="E160" s="712"/>
    </row>
    <row r="161" spans="1:5" ht="12.75">
      <c r="A161" s="933"/>
      <c r="B161" s="933"/>
      <c r="C161" s="933"/>
      <c r="D161" s="933"/>
      <c r="E161" s="712"/>
    </row>
    <row r="162" spans="1:5" ht="12.75">
      <c r="A162" s="933"/>
      <c r="B162" s="933"/>
      <c r="C162" s="933"/>
      <c r="D162" s="933"/>
      <c r="E162" s="712"/>
    </row>
    <row r="163" spans="1:5" ht="12.75">
      <c r="A163" s="933"/>
      <c r="B163" s="933"/>
      <c r="C163" s="933"/>
      <c r="D163" s="933"/>
      <c r="E163" s="712"/>
    </row>
    <row r="164" spans="1:5" ht="12.75">
      <c r="A164" s="933"/>
      <c r="B164" s="933"/>
      <c r="C164" s="933"/>
      <c r="D164" s="933"/>
      <c r="E164" s="712"/>
    </row>
    <row r="165" spans="1:5" ht="12.75">
      <c r="A165" s="933"/>
      <c r="B165" s="933"/>
      <c r="C165" s="933"/>
      <c r="D165" s="933"/>
      <c r="E165" s="712"/>
    </row>
    <row r="166" spans="1:5" ht="12.75">
      <c r="A166" s="933"/>
      <c r="B166" s="933"/>
      <c r="C166" s="933"/>
      <c r="D166" s="933"/>
      <c r="E166" s="712"/>
    </row>
    <row r="167" spans="1:5" ht="12.75">
      <c r="A167" s="933"/>
      <c r="B167" s="933"/>
      <c r="C167" s="933"/>
      <c r="D167" s="933"/>
      <c r="E167" s="712"/>
    </row>
    <row r="168" spans="1:5" ht="12.75">
      <c r="A168" s="933"/>
      <c r="B168" s="933"/>
      <c r="C168" s="933"/>
      <c r="D168" s="933"/>
      <c r="E168" s="712"/>
    </row>
    <row r="169" spans="1:5" ht="12.75">
      <c r="A169" s="933"/>
      <c r="B169" s="933"/>
      <c r="C169" s="933"/>
      <c r="D169" s="933"/>
      <c r="E169" s="712"/>
    </row>
    <row r="170" spans="1:5" ht="12.75">
      <c r="A170" s="933"/>
      <c r="B170" s="933"/>
      <c r="C170" s="933"/>
      <c r="D170" s="933"/>
      <c r="E170" s="712"/>
    </row>
    <row r="171" spans="1:5" ht="12.75">
      <c r="A171" s="933"/>
      <c r="B171" s="933"/>
      <c r="C171" s="933"/>
      <c r="D171" s="933"/>
      <c r="E171" s="712"/>
    </row>
    <row r="172" spans="1:5" ht="12.75">
      <c r="A172" s="933"/>
      <c r="B172" s="933"/>
      <c r="C172" s="933"/>
      <c r="D172" s="933"/>
      <c r="E172" s="712"/>
    </row>
    <row r="173" spans="1:5" ht="12.75">
      <c r="A173" s="933"/>
      <c r="B173" s="933"/>
      <c r="C173" s="933"/>
      <c r="D173" s="933"/>
      <c r="E173" s="712"/>
    </row>
    <row r="174" spans="1:5" ht="12.75">
      <c r="A174" s="933"/>
      <c r="B174" s="933"/>
      <c r="C174" s="933"/>
      <c r="D174" s="933"/>
      <c r="E174" s="712"/>
    </row>
    <row r="175" spans="1:5" ht="12.75">
      <c r="A175" s="933"/>
      <c r="B175" s="933"/>
      <c r="C175" s="933"/>
      <c r="D175" s="933"/>
      <c r="E175" s="712"/>
    </row>
    <row r="176" spans="1:5" ht="12.75">
      <c r="A176" s="933"/>
      <c r="B176" s="933"/>
      <c r="C176" s="933"/>
      <c r="D176" s="933"/>
      <c r="E176" s="712"/>
    </row>
    <row r="177" spans="1:5" ht="12.75">
      <c r="A177" s="933"/>
      <c r="B177" s="933"/>
      <c r="C177" s="933"/>
      <c r="D177" s="933"/>
      <c r="E177" s="712"/>
    </row>
    <row r="178" spans="1:5" ht="12.75">
      <c r="A178" s="933"/>
      <c r="B178" s="933"/>
      <c r="C178" s="933"/>
      <c r="D178" s="933"/>
      <c r="E178" s="712"/>
    </row>
    <row r="179" spans="1:5" ht="12.75">
      <c r="A179" s="933"/>
      <c r="B179" s="933"/>
      <c r="C179" s="933"/>
      <c r="D179" s="933"/>
      <c r="E179" s="712"/>
    </row>
    <row r="180" spans="1:5" ht="12.75">
      <c r="A180" s="933"/>
      <c r="B180" s="933"/>
      <c r="C180" s="933"/>
      <c r="D180" s="933"/>
      <c r="E180" s="712"/>
    </row>
    <row r="181" spans="1:5" ht="12.75">
      <c r="A181" s="933"/>
      <c r="B181" s="933"/>
      <c r="C181" s="933"/>
      <c r="D181" s="933"/>
      <c r="E181" s="712"/>
    </row>
    <row r="182" spans="1:5" ht="12.75">
      <c r="A182" s="933"/>
      <c r="B182" s="933"/>
      <c r="C182" s="933"/>
      <c r="D182" s="933"/>
      <c r="E182" s="712"/>
    </row>
    <row r="183" spans="1:5" ht="12.75">
      <c r="A183" s="933"/>
      <c r="B183" s="933"/>
      <c r="C183" s="933"/>
      <c r="D183" s="933"/>
      <c r="E183" s="712"/>
    </row>
    <row r="184" spans="1:5" ht="12.75">
      <c r="A184" s="933"/>
      <c r="B184" s="933"/>
      <c r="C184" s="933"/>
      <c r="D184" s="933"/>
      <c r="E184" s="712"/>
    </row>
    <row r="185" spans="1:5" ht="12.75">
      <c r="A185" s="933"/>
      <c r="B185" s="933"/>
      <c r="C185" s="933"/>
      <c r="D185" s="933"/>
      <c r="E185" s="712"/>
    </row>
    <row r="186" spans="1:5" ht="12.75">
      <c r="A186" s="933"/>
      <c r="B186" s="933"/>
      <c r="C186" s="933"/>
      <c r="D186" s="933"/>
      <c r="E186" s="712"/>
    </row>
    <row r="187" spans="1:5" ht="12.75">
      <c r="A187" s="933"/>
      <c r="B187" s="933"/>
      <c r="C187" s="933"/>
      <c r="D187" s="933"/>
      <c r="E187" s="712"/>
    </row>
    <row r="188" spans="1:5" ht="12.75">
      <c r="A188" s="933"/>
      <c r="B188" s="933"/>
      <c r="C188" s="933"/>
      <c r="D188" s="933"/>
      <c r="E188" s="712"/>
    </row>
    <row r="189" spans="1:5" ht="12.75">
      <c r="A189" s="933"/>
      <c r="B189" s="933"/>
      <c r="C189" s="933"/>
      <c r="D189" s="933"/>
      <c r="E189" s="712"/>
    </row>
    <row r="190" spans="1:5" ht="12.75">
      <c r="A190" s="933"/>
      <c r="B190" s="933"/>
      <c r="C190" s="933"/>
      <c r="D190" s="933"/>
      <c r="E190" s="712"/>
    </row>
    <row r="191" spans="1:5" ht="12.75">
      <c r="A191" s="933"/>
      <c r="B191" s="933"/>
      <c r="C191" s="933"/>
      <c r="D191" s="933"/>
      <c r="E191" s="712"/>
    </row>
    <row r="192" spans="1:5" ht="12.75">
      <c r="A192" s="933"/>
      <c r="B192" s="933"/>
      <c r="C192" s="933"/>
      <c r="D192" s="933"/>
      <c r="E192" s="712"/>
    </row>
    <row r="193" spans="1:5" ht="12.75">
      <c r="A193" s="933"/>
      <c r="B193" s="933"/>
      <c r="C193" s="933"/>
      <c r="D193" s="933"/>
      <c r="E193" s="712"/>
    </row>
    <row r="194" spans="1:5" ht="12.75">
      <c r="A194" s="933"/>
      <c r="B194" s="933"/>
      <c r="C194" s="933"/>
      <c r="D194" s="933"/>
      <c r="E194" s="712"/>
    </row>
    <row r="195" spans="1:5" ht="12.75">
      <c r="A195" s="933"/>
      <c r="B195" s="933"/>
      <c r="C195" s="933"/>
      <c r="D195" s="933"/>
      <c r="E195" s="712"/>
    </row>
    <row r="196" spans="1:5" ht="12.75">
      <c r="A196" s="933"/>
      <c r="B196" s="933"/>
      <c r="C196" s="933"/>
      <c r="D196" s="933"/>
      <c r="E196" s="712"/>
    </row>
    <row r="197" spans="1:5" ht="12.75">
      <c r="A197" s="933"/>
      <c r="B197" s="933"/>
      <c r="C197" s="933"/>
      <c r="D197" s="933"/>
      <c r="E197" s="712"/>
    </row>
    <row r="198" spans="1:5" ht="12.75">
      <c r="A198" s="933"/>
      <c r="B198" s="933"/>
      <c r="C198" s="933"/>
      <c r="D198" s="933"/>
      <c r="E198" s="712"/>
    </row>
    <row r="199" spans="1:5" ht="12.75">
      <c r="A199" s="933"/>
      <c r="B199" s="933"/>
      <c r="C199" s="933"/>
      <c r="D199" s="933"/>
      <c r="E199" s="712"/>
    </row>
    <row r="200" spans="1:5" ht="12.75">
      <c r="A200" s="933"/>
      <c r="B200" s="933"/>
      <c r="C200" s="933"/>
      <c r="D200" s="933"/>
      <c r="E200" s="712"/>
    </row>
    <row r="201" spans="1:5" ht="12.75">
      <c r="A201" s="933"/>
      <c r="B201" s="933"/>
      <c r="C201" s="933"/>
      <c r="D201" s="933"/>
      <c r="E201" s="712"/>
    </row>
    <row r="202" spans="1:5" ht="12.75">
      <c r="A202" s="933"/>
      <c r="B202" s="933"/>
      <c r="C202" s="933"/>
      <c r="D202" s="933"/>
      <c r="E202" s="712"/>
    </row>
    <row r="203" spans="1:5" ht="12.75">
      <c r="A203" s="933"/>
      <c r="B203" s="933"/>
      <c r="C203" s="933"/>
      <c r="D203" s="933"/>
      <c r="E203" s="712"/>
    </row>
    <row r="204" spans="1:5" ht="12.75">
      <c r="A204" s="933"/>
      <c r="B204" s="933"/>
      <c r="C204" s="933"/>
      <c r="D204" s="933"/>
      <c r="E204" s="712"/>
    </row>
    <row r="205" spans="1:5" ht="12.75">
      <c r="A205" s="933"/>
      <c r="B205" s="933"/>
      <c r="C205" s="933"/>
      <c r="D205" s="933"/>
      <c r="E205" s="712"/>
    </row>
    <row r="206" spans="1:5" ht="12.75">
      <c r="A206" s="933"/>
      <c r="B206" s="933"/>
      <c r="C206" s="933"/>
      <c r="D206" s="933"/>
      <c r="E206" s="712"/>
    </row>
    <row r="207" spans="1:5" ht="12.75">
      <c r="A207" s="933"/>
      <c r="B207" s="933"/>
      <c r="C207" s="933"/>
      <c r="D207" s="933"/>
      <c r="E207" s="712"/>
    </row>
    <row r="208" spans="1:5" ht="12.75">
      <c r="A208" s="933"/>
      <c r="B208" s="933"/>
      <c r="C208" s="933"/>
      <c r="D208" s="933"/>
      <c r="E208" s="712"/>
    </row>
    <row r="209" spans="1:5" ht="12.75">
      <c r="A209" s="933"/>
      <c r="B209" s="933"/>
      <c r="C209" s="933"/>
      <c r="D209" s="933"/>
      <c r="E209" s="712"/>
    </row>
    <row r="210" spans="1:5" ht="12.75">
      <c r="A210" s="933"/>
      <c r="B210" s="933"/>
      <c r="C210" s="933"/>
      <c r="D210" s="933"/>
      <c r="E210" s="712"/>
    </row>
    <row r="211" spans="1:5" ht="12.75">
      <c r="A211" s="933"/>
      <c r="B211" s="933"/>
      <c r="C211" s="933"/>
      <c r="D211" s="933"/>
      <c r="E211" s="712"/>
    </row>
    <row r="212" spans="1:5" ht="12.75">
      <c r="A212" s="933"/>
      <c r="B212" s="933"/>
      <c r="C212" s="933"/>
      <c r="D212" s="933"/>
      <c r="E212" s="712"/>
    </row>
    <row r="213" spans="1:5" ht="12.75">
      <c r="A213" s="933"/>
      <c r="B213" s="933"/>
      <c r="C213" s="933"/>
      <c r="D213" s="933"/>
      <c r="E213" s="712"/>
    </row>
    <row r="214" spans="1:5" ht="12.75">
      <c r="A214" s="933"/>
      <c r="B214" s="933"/>
      <c r="C214" s="933"/>
      <c r="D214" s="933"/>
      <c r="E214" s="712"/>
    </row>
    <row r="215" spans="1:5" ht="12.75">
      <c r="A215" s="933"/>
      <c r="B215" s="933"/>
      <c r="C215" s="933"/>
      <c r="D215" s="933"/>
      <c r="E215" s="712"/>
    </row>
    <row r="216" spans="1:5" ht="12.75">
      <c r="A216" s="933"/>
      <c r="B216" s="933"/>
      <c r="C216" s="933"/>
      <c r="D216" s="933"/>
      <c r="E216" s="712"/>
    </row>
    <row r="217" spans="1:5" ht="12.75">
      <c r="A217" s="933"/>
      <c r="B217" s="933"/>
      <c r="C217" s="933"/>
      <c r="D217" s="933"/>
      <c r="E217" s="712"/>
    </row>
    <row r="218" spans="1:5" ht="12.75">
      <c r="A218" s="933"/>
      <c r="B218" s="933"/>
      <c r="C218" s="933"/>
      <c r="D218" s="933"/>
      <c r="E218" s="712"/>
    </row>
    <row r="219" spans="1:5" ht="12.75">
      <c r="A219" s="933"/>
      <c r="B219" s="933"/>
      <c r="C219" s="933"/>
      <c r="D219" s="933"/>
      <c r="E219" s="712"/>
    </row>
    <row r="220" spans="1:5" ht="12.75">
      <c r="A220" s="933"/>
      <c r="B220" s="933"/>
      <c r="C220" s="933"/>
      <c r="D220" s="933"/>
      <c r="E220" s="712"/>
    </row>
    <row r="221" spans="1:5" ht="12.75">
      <c r="A221" s="933"/>
      <c r="B221" s="933"/>
      <c r="C221" s="933"/>
      <c r="D221" s="933"/>
      <c r="E221" s="712"/>
    </row>
    <row r="222" spans="1:5" ht="12.75">
      <c r="A222" s="933"/>
      <c r="B222" s="933"/>
      <c r="C222" s="933"/>
      <c r="D222" s="933"/>
      <c r="E222" s="712"/>
    </row>
    <row r="223" spans="1:5" ht="12.75">
      <c r="A223" s="933"/>
      <c r="B223" s="933"/>
      <c r="C223" s="933"/>
      <c r="D223" s="933"/>
      <c r="E223" s="712"/>
    </row>
    <row r="224" spans="1:5" ht="12.75">
      <c r="A224" s="933"/>
      <c r="B224" s="933"/>
      <c r="C224" s="933"/>
      <c r="D224" s="933"/>
      <c r="E224" s="712"/>
    </row>
    <row r="225" spans="1:5" ht="12.75">
      <c r="A225" s="933"/>
      <c r="B225" s="933"/>
      <c r="C225" s="933"/>
      <c r="D225" s="933"/>
      <c r="E225" s="712"/>
    </row>
    <row r="226" spans="1:5" ht="12.75">
      <c r="A226" s="933"/>
      <c r="B226" s="933"/>
      <c r="C226" s="933"/>
      <c r="D226" s="933"/>
      <c r="E226" s="712"/>
    </row>
    <row r="227" spans="1:5" ht="12.75">
      <c r="A227" s="933"/>
      <c r="B227" s="933"/>
      <c r="C227" s="933"/>
      <c r="D227" s="933"/>
      <c r="E227" s="712"/>
    </row>
    <row r="228" spans="1:5" ht="12.75">
      <c r="A228" s="933"/>
      <c r="B228" s="933"/>
      <c r="C228" s="933"/>
      <c r="D228" s="933"/>
      <c r="E228" s="712"/>
    </row>
    <row r="229" spans="1:5" ht="12.75">
      <c r="A229" s="933"/>
      <c r="B229" s="933"/>
      <c r="C229" s="933"/>
      <c r="D229" s="933"/>
      <c r="E229" s="712"/>
    </row>
    <row r="230" spans="1:5" ht="12.75">
      <c r="A230" s="933"/>
      <c r="B230" s="933"/>
      <c r="C230" s="933"/>
      <c r="D230" s="933"/>
      <c r="E230" s="712"/>
    </row>
    <row r="231" spans="1:5" ht="12.75">
      <c r="A231" s="933"/>
      <c r="B231" s="933"/>
      <c r="C231" s="933"/>
      <c r="D231" s="933"/>
      <c r="E231" s="712"/>
    </row>
    <row r="232" spans="1:5" ht="12.75">
      <c r="A232" s="933"/>
      <c r="B232" s="933"/>
      <c r="C232" s="933"/>
      <c r="D232" s="933"/>
      <c r="E232" s="712"/>
    </row>
    <row r="233" spans="1:5" ht="12.75">
      <c r="A233" s="933"/>
      <c r="B233" s="933"/>
      <c r="C233" s="933"/>
      <c r="D233" s="933"/>
      <c r="E233" s="712"/>
    </row>
    <row r="234" spans="1:5" ht="12.75">
      <c r="A234" s="933"/>
      <c r="B234" s="933"/>
      <c r="C234" s="933"/>
      <c r="D234" s="933"/>
      <c r="E234" s="712"/>
    </row>
    <row r="235" spans="1:5" ht="12.75">
      <c r="A235" s="933"/>
      <c r="B235" s="933"/>
      <c r="C235" s="933"/>
      <c r="D235" s="933"/>
      <c r="E235" s="712"/>
    </row>
    <row r="236" spans="1:5" ht="12.75">
      <c r="A236" s="933"/>
      <c r="B236" s="933"/>
      <c r="C236" s="933"/>
      <c r="D236" s="933"/>
      <c r="E236" s="712"/>
    </row>
    <row r="237" spans="1:5" ht="12.75">
      <c r="A237" s="933"/>
      <c r="B237" s="933"/>
      <c r="C237" s="933"/>
      <c r="D237" s="933"/>
      <c r="E237" s="712"/>
    </row>
    <row r="238" spans="1:5" ht="12.75">
      <c r="A238" s="933"/>
      <c r="B238" s="933"/>
      <c r="C238" s="933"/>
      <c r="D238" s="933"/>
      <c r="E238" s="712"/>
    </row>
    <row r="239" spans="1:5" ht="12.75">
      <c r="A239" s="933"/>
      <c r="B239" s="933"/>
      <c r="C239" s="933"/>
      <c r="D239" s="933"/>
      <c r="E239" s="712"/>
    </row>
    <row r="240" spans="1:5" ht="12.75">
      <c r="A240" s="933"/>
      <c r="B240" s="933"/>
      <c r="C240" s="933"/>
      <c r="D240" s="933"/>
      <c r="E240" s="712"/>
    </row>
    <row r="241" spans="1:5" ht="12.75">
      <c r="A241" s="933"/>
      <c r="B241" s="933"/>
      <c r="C241" s="933"/>
      <c r="D241" s="933"/>
      <c r="E241" s="712"/>
    </row>
    <row r="242" spans="1:5" ht="12.75">
      <c r="A242" s="933"/>
      <c r="B242" s="933"/>
      <c r="C242" s="933"/>
      <c r="D242" s="933"/>
      <c r="E242" s="712"/>
    </row>
    <row r="243" spans="1:5" ht="12.75">
      <c r="A243" s="933"/>
      <c r="B243" s="933"/>
      <c r="C243" s="933"/>
      <c r="D243" s="933"/>
      <c r="E243" s="712"/>
    </row>
    <row r="244" spans="1:5" ht="12.75">
      <c r="A244" s="933"/>
      <c r="B244" s="933"/>
      <c r="C244" s="933"/>
      <c r="D244" s="933"/>
      <c r="E244" s="712"/>
    </row>
    <row r="245" spans="1:5" ht="12.75">
      <c r="A245" s="933"/>
      <c r="B245" s="933"/>
      <c r="C245" s="933"/>
      <c r="D245" s="933"/>
      <c r="E245" s="712"/>
    </row>
    <row r="246" spans="1:5" ht="12.75">
      <c r="A246" s="933"/>
      <c r="B246" s="933"/>
      <c r="C246" s="933"/>
      <c r="D246" s="933"/>
      <c r="E246" s="712"/>
    </row>
    <row r="247" spans="1:5" ht="12.75">
      <c r="A247" s="933"/>
      <c r="B247" s="933"/>
      <c r="C247" s="933"/>
      <c r="D247" s="933"/>
      <c r="E247" s="712"/>
    </row>
    <row r="248" spans="1:5" ht="12.75">
      <c r="A248" s="933"/>
      <c r="B248" s="933"/>
      <c r="C248" s="933"/>
      <c r="D248" s="933"/>
      <c r="E248" s="712"/>
    </row>
    <row r="249" spans="1:5" ht="12.75">
      <c r="A249" s="933"/>
      <c r="B249" s="933"/>
      <c r="C249" s="933"/>
      <c r="D249" s="933"/>
      <c r="E249" s="712"/>
    </row>
    <row r="250" spans="1:5" ht="12.75">
      <c r="A250" s="933"/>
      <c r="B250" s="933"/>
      <c r="C250" s="933"/>
      <c r="D250" s="933"/>
      <c r="E250" s="712"/>
    </row>
    <row r="251" spans="1:5" ht="12.75">
      <c r="A251" s="933"/>
      <c r="B251" s="933"/>
      <c r="C251" s="933"/>
      <c r="D251" s="933"/>
      <c r="E251" s="712"/>
    </row>
    <row r="252" spans="1:5" ht="12.75">
      <c r="A252" s="933"/>
      <c r="B252" s="933"/>
      <c r="C252" s="933"/>
      <c r="D252" s="933"/>
      <c r="E252" s="712"/>
    </row>
    <row r="253" spans="1:5" ht="12.75">
      <c r="A253" s="933"/>
      <c r="B253" s="933"/>
      <c r="C253" s="933"/>
      <c r="D253" s="933"/>
      <c r="E253" s="712"/>
    </row>
    <row r="254" spans="1:5" ht="12.75">
      <c r="A254" s="933"/>
      <c r="B254" s="933"/>
      <c r="C254" s="933"/>
      <c r="D254" s="933"/>
      <c r="E254" s="712"/>
    </row>
    <row r="255" spans="1:5" ht="12.75">
      <c r="A255" s="933"/>
      <c r="B255" s="933"/>
      <c r="C255" s="933"/>
      <c r="D255" s="933"/>
      <c r="E255" s="712"/>
    </row>
    <row r="256" spans="1:5" ht="12.75">
      <c r="A256" s="933"/>
      <c r="B256" s="933"/>
      <c r="C256" s="933"/>
      <c r="D256" s="933"/>
      <c r="E256" s="712"/>
    </row>
    <row r="257" spans="1:5" ht="12.75">
      <c r="A257" s="933"/>
      <c r="B257" s="933"/>
      <c r="C257" s="933"/>
      <c r="D257" s="933"/>
      <c r="E257" s="712"/>
    </row>
    <row r="258" spans="1:5" ht="12.75">
      <c r="A258" s="933"/>
      <c r="B258" s="933"/>
      <c r="C258" s="933"/>
      <c r="D258" s="933"/>
      <c r="E258" s="712"/>
    </row>
    <row r="259" spans="1:5" ht="12.75">
      <c r="A259" s="933"/>
      <c r="B259" s="933"/>
      <c r="C259" s="933"/>
      <c r="D259" s="933"/>
      <c r="E259" s="712"/>
    </row>
    <row r="260" spans="1:5" ht="12.75">
      <c r="A260" s="933"/>
      <c r="B260" s="933"/>
      <c r="C260" s="933"/>
      <c r="D260" s="933"/>
      <c r="E260" s="712"/>
    </row>
    <row r="261" spans="1:5" ht="12.75">
      <c r="A261" s="933"/>
      <c r="B261" s="933"/>
      <c r="C261" s="933"/>
      <c r="D261" s="933"/>
      <c r="E261" s="712"/>
    </row>
    <row r="262" spans="1:5" ht="12.75">
      <c r="A262" s="933"/>
      <c r="B262" s="933"/>
      <c r="C262" s="933"/>
      <c r="D262" s="933"/>
      <c r="E262" s="712"/>
    </row>
    <row r="263" spans="1:5" ht="12.75">
      <c r="A263" s="933"/>
      <c r="B263" s="933"/>
      <c r="C263" s="933"/>
      <c r="D263" s="933"/>
      <c r="E263" s="712"/>
    </row>
    <row r="264" spans="1:5" ht="12.75">
      <c r="A264" s="933"/>
      <c r="B264" s="933"/>
      <c r="C264" s="933"/>
      <c r="D264" s="933"/>
      <c r="E264" s="712"/>
    </row>
    <row r="265" spans="1:5" ht="12.75">
      <c r="A265" s="933"/>
      <c r="B265" s="933"/>
      <c r="C265" s="933"/>
      <c r="D265" s="933"/>
      <c r="E265" s="712"/>
    </row>
    <row r="266" spans="1:5" ht="12.75">
      <c r="A266" s="933"/>
      <c r="B266" s="933"/>
      <c r="C266" s="933"/>
      <c r="D266" s="933"/>
      <c r="E266" s="712"/>
    </row>
    <row r="267" spans="1:5" ht="12.75">
      <c r="A267" s="933"/>
      <c r="B267" s="933"/>
      <c r="C267" s="933"/>
      <c r="D267" s="933"/>
      <c r="E267" s="712"/>
    </row>
    <row r="268" spans="1:5" ht="12.75">
      <c r="A268" s="933"/>
      <c r="B268" s="933"/>
      <c r="C268" s="933"/>
      <c r="D268" s="933"/>
      <c r="E268" s="712"/>
    </row>
    <row r="269" spans="1:5" ht="12.75">
      <c r="A269" s="933"/>
      <c r="B269" s="933"/>
      <c r="C269" s="933"/>
      <c r="D269" s="933"/>
      <c r="E269" s="712"/>
    </row>
    <row r="270" spans="1:5" ht="12.75">
      <c r="A270" s="933"/>
      <c r="B270" s="933"/>
      <c r="C270" s="933"/>
      <c r="D270" s="933"/>
      <c r="E270" s="712"/>
    </row>
    <row r="271" spans="1:5" ht="12.75">
      <c r="A271" s="933"/>
      <c r="B271" s="933"/>
      <c r="C271" s="933"/>
      <c r="D271" s="933"/>
      <c r="E271" s="712"/>
    </row>
    <row r="272" spans="1:5" ht="12.75">
      <c r="A272" s="933"/>
      <c r="B272" s="933"/>
      <c r="C272" s="933"/>
      <c r="D272" s="933"/>
      <c r="E272" s="712"/>
    </row>
    <row r="273" spans="1:5" ht="12.75">
      <c r="A273" s="933"/>
      <c r="B273" s="933"/>
      <c r="C273" s="933"/>
      <c r="D273" s="933"/>
      <c r="E273" s="712"/>
    </row>
    <row r="274" spans="1:5" ht="12.75">
      <c r="A274" s="933"/>
      <c r="B274" s="933"/>
      <c r="C274" s="933"/>
      <c r="D274" s="933"/>
      <c r="E274" s="712"/>
    </row>
    <row r="275" spans="1:5" ht="12.75">
      <c r="A275" s="933"/>
      <c r="B275" s="933"/>
      <c r="C275" s="933"/>
      <c r="D275" s="933"/>
      <c r="E275" s="712"/>
    </row>
    <row r="276" spans="1:5" ht="12.75">
      <c r="A276" s="933"/>
      <c r="B276" s="933"/>
      <c r="C276" s="933"/>
      <c r="D276" s="933"/>
      <c r="E276" s="712"/>
    </row>
    <row r="277" spans="1:5" ht="12.75">
      <c r="A277" s="933"/>
      <c r="B277" s="933"/>
      <c r="C277" s="933"/>
      <c r="D277" s="933"/>
      <c r="E277" s="712"/>
    </row>
    <row r="278" spans="1:5" ht="12.75">
      <c r="A278" s="933"/>
      <c r="B278" s="933"/>
      <c r="C278" s="933"/>
      <c r="D278" s="933"/>
      <c r="E278" s="712"/>
    </row>
    <row r="279" spans="1:5" ht="12.75">
      <c r="A279" s="933"/>
      <c r="B279" s="933"/>
      <c r="C279" s="933"/>
      <c r="D279" s="933"/>
      <c r="E279" s="712"/>
    </row>
    <row r="280" spans="1:5" ht="12.75">
      <c r="A280" s="933"/>
      <c r="B280" s="933"/>
      <c r="C280" s="933"/>
      <c r="D280" s="933"/>
      <c r="E280" s="712"/>
    </row>
    <row r="281" spans="1:5" ht="12.75">
      <c r="A281" s="933"/>
      <c r="B281" s="933"/>
      <c r="C281" s="933"/>
      <c r="D281" s="933"/>
      <c r="E281" s="712"/>
    </row>
    <row r="282" spans="1:5" ht="12.75">
      <c r="A282" s="933"/>
      <c r="B282" s="933"/>
      <c r="C282" s="933"/>
      <c r="D282" s="933"/>
      <c r="E282" s="712"/>
    </row>
    <row r="283" spans="1:5" ht="12.75">
      <c r="A283" s="933"/>
      <c r="B283" s="933"/>
      <c r="C283" s="933"/>
      <c r="D283" s="933"/>
      <c r="E283" s="712"/>
    </row>
    <row r="284" spans="1:5" ht="12.75">
      <c r="A284" s="933"/>
      <c r="B284" s="933"/>
      <c r="C284" s="933"/>
      <c r="D284" s="933"/>
      <c r="E284" s="712"/>
    </row>
    <row r="285" spans="1:5" ht="12.75">
      <c r="A285" s="933"/>
      <c r="B285" s="933"/>
      <c r="C285" s="933"/>
      <c r="D285" s="933"/>
      <c r="E285" s="712"/>
    </row>
    <row r="286" spans="1:5" ht="12.75">
      <c r="A286" s="933"/>
      <c r="B286" s="933"/>
      <c r="C286" s="933"/>
      <c r="D286" s="933"/>
      <c r="E286" s="712"/>
    </row>
    <row r="287" spans="1:5" ht="12.75">
      <c r="A287" s="933"/>
      <c r="B287" s="933"/>
      <c r="C287" s="933"/>
      <c r="D287" s="933"/>
      <c r="E287" s="712"/>
    </row>
    <row r="288" spans="1:5" ht="12.75">
      <c r="A288" s="933"/>
      <c r="B288" s="933"/>
      <c r="C288" s="933"/>
      <c r="D288" s="933"/>
      <c r="E288" s="712"/>
    </row>
    <row r="289" spans="1:5" ht="12.75">
      <c r="A289" s="933"/>
      <c r="B289" s="933"/>
      <c r="C289" s="933"/>
      <c r="D289" s="933"/>
      <c r="E289" s="712"/>
    </row>
    <row r="290" spans="1:5" ht="12.75">
      <c r="A290" s="933"/>
      <c r="B290" s="933"/>
      <c r="C290" s="933"/>
      <c r="D290" s="933"/>
      <c r="E290" s="712"/>
    </row>
    <row r="291" spans="1:5" ht="12.75">
      <c r="A291" s="933"/>
      <c r="B291" s="933"/>
      <c r="C291" s="933"/>
      <c r="D291" s="933"/>
      <c r="E291" s="712"/>
    </row>
    <row r="292" spans="1:5" ht="12.75">
      <c r="A292" s="933"/>
      <c r="B292" s="933"/>
      <c r="C292" s="933"/>
      <c r="D292" s="933"/>
      <c r="E292" s="712"/>
    </row>
    <row r="293" spans="1:5" ht="12.75">
      <c r="A293" s="933"/>
      <c r="B293" s="933"/>
      <c r="C293" s="933"/>
      <c r="D293" s="933"/>
      <c r="E293" s="712"/>
    </row>
    <row r="294" spans="1:5" ht="12.75">
      <c r="A294" s="933"/>
      <c r="B294" s="933"/>
      <c r="C294" s="933"/>
      <c r="D294" s="933"/>
      <c r="E294" s="712"/>
    </row>
    <row r="295" spans="1:5" ht="12.75">
      <c r="A295" s="933"/>
      <c r="B295" s="933"/>
      <c r="C295" s="933"/>
      <c r="D295" s="933"/>
      <c r="E295" s="712"/>
    </row>
    <row r="296" spans="1:5" ht="12.75">
      <c r="A296" s="933"/>
      <c r="B296" s="933"/>
      <c r="C296" s="933"/>
      <c r="D296" s="933"/>
      <c r="E296" s="712"/>
    </row>
    <row r="297" spans="1:5" ht="12.75">
      <c r="A297" s="933"/>
      <c r="B297" s="933"/>
      <c r="C297" s="933"/>
      <c r="D297" s="933"/>
      <c r="E297" s="712"/>
    </row>
    <row r="298" spans="1:5" ht="12.75">
      <c r="A298" s="933"/>
      <c r="B298" s="933"/>
      <c r="C298" s="933"/>
      <c r="D298" s="933"/>
      <c r="E298" s="712"/>
    </row>
    <row r="299" spans="1:5" ht="12.75">
      <c r="A299" s="933"/>
      <c r="B299" s="933"/>
      <c r="C299" s="933"/>
      <c r="D299" s="933"/>
      <c r="E299" s="712"/>
    </row>
    <row r="300" spans="1:5" ht="12.75">
      <c r="A300" s="933"/>
      <c r="B300" s="933"/>
      <c r="C300" s="933"/>
      <c r="D300" s="933"/>
      <c r="E300" s="712"/>
    </row>
    <row r="301" spans="1:5" ht="12.75">
      <c r="A301" s="933"/>
      <c r="B301" s="933"/>
      <c r="C301" s="933"/>
      <c r="D301" s="933"/>
      <c r="E301" s="712"/>
    </row>
    <row r="302" spans="1:5" ht="12.75">
      <c r="A302" s="933"/>
      <c r="B302" s="933"/>
      <c r="C302" s="933"/>
      <c r="D302" s="933"/>
      <c r="E302" s="712"/>
    </row>
    <row r="303" spans="1:5" ht="12.75">
      <c r="A303" s="933"/>
      <c r="B303" s="933"/>
      <c r="C303" s="933"/>
      <c r="D303" s="933"/>
      <c r="E303" s="712"/>
    </row>
    <row r="304" spans="1:5" ht="12.75">
      <c r="A304" s="933"/>
      <c r="B304" s="933"/>
      <c r="C304" s="933"/>
      <c r="D304" s="933"/>
      <c r="E304" s="712"/>
    </row>
    <row r="305" spans="1:5" ht="12.75">
      <c r="A305" s="933"/>
      <c r="B305" s="933"/>
      <c r="C305" s="933"/>
      <c r="D305" s="933"/>
      <c r="E305" s="712"/>
    </row>
    <row r="306" spans="1:5" ht="12.75">
      <c r="A306" s="933"/>
      <c r="B306" s="933"/>
      <c r="C306" s="933"/>
      <c r="D306" s="933"/>
      <c r="E306" s="712"/>
    </row>
    <row r="307" spans="1:5" ht="12.75">
      <c r="A307" s="933"/>
      <c r="B307" s="933"/>
      <c r="C307" s="933"/>
      <c r="D307" s="933"/>
      <c r="E307" s="712"/>
    </row>
    <row r="308" spans="1:5" ht="12.75">
      <c r="A308" s="933"/>
      <c r="B308" s="933"/>
      <c r="C308" s="933"/>
      <c r="D308" s="933"/>
      <c r="E308" s="712"/>
    </row>
    <row r="309" spans="1:5" ht="12.75">
      <c r="A309" s="933"/>
      <c r="B309" s="933"/>
      <c r="C309" s="933"/>
      <c r="D309" s="933"/>
      <c r="E309" s="712"/>
    </row>
    <row r="310" spans="1:5" ht="12.75">
      <c r="A310" s="933"/>
      <c r="B310" s="933"/>
      <c r="C310" s="933"/>
      <c r="D310" s="933"/>
      <c r="E310" s="712"/>
    </row>
    <row r="311" spans="1:5" ht="12.75">
      <c r="A311" s="933"/>
      <c r="B311" s="933"/>
      <c r="C311" s="933"/>
      <c r="D311" s="933"/>
      <c r="E311" s="712"/>
    </row>
    <row r="312" spans="1:5" ht="12.75">
      <c r="A312" s="933"/>
      <c r="B312" s="933"/>
      <c r="C312" s="933"/>
      <c r="D312" s="933"/>
      <c r="E312" s="712"/>
    </row>
    <row r="313" spans="1:5" ht="12.75">
      <c r="A313" s="933"/>
      <c r="B313" s="933"/>
      <c r="C313" s="933"/>
      <c r="D313" s="933"/>
      <c r="E313" s="712"/>
    </row>
    <row r="314" spans="1:5" ht="12.75">
      <c r="A314" s="933"/>
      <c r="B314" s="933"/>
      <c r="C314" s="933"/>
      <c r="D314" s="933"/>
      <c r="E314" s="712"/>
    </row>
    <row r="315" spans="1:5" ht="12.75">
      <c r="A315" s="933"/>
      <c r="B315" s="933"/>
      <c r="C315" s="933"/>
      <c r="D315" s="933"/>
      <c r="E315" s="712"/>
    </row>
    <row r="316" spans="1:5" ht="12.75">
      <c r="A316" s="933"/>
      <c r="B316" s="933"/>
      <c r="C316" s="933"/>
      <c r="D316" s="933"/>
      <c r="E316" s="712"/>
    </row>
    <row r="317" spans="1:5" ht="12.75">
      <c r="A317" s="933"/>
      <c r="B317" s="933"/>
      <c r="C317" s="933"/>
      <c r="D317" s="933"/>
      <c r="E317" s="712"/>
    </row>
    <row r="318" spans="1:5" ht="12.75">
      <c r="A318" s="933"/>
      <c r="B318" s="933"/>
      <c r="C318" s="933"/>
      <c r="D318" s="933"/>
      <c r="E318" s="712"/>
    </row>
    <row r="319" spans="1:5" ht="12.75">
      <c r="A319" s="933"/>
      <c r="B319" s="933"/>
      <c r="C319" s="933"/>
      <c r="D319" s="933"/>
      <c r="E319" s="712"/>
    </row>
    <row r="320" spans="1:5" ht="12.75">
      <c r="A320" s="933"/>
      <c r="B320" s="933"/>
      <c r="C320" s="933"/>
      <c r="D320" s="933"/>
      <c r="E320" s="712"/>
    </row>
    <row r="321" spans="1:5" ht="12.75">
      <c r="A321" s="933"/>
      <c r="B321" s="933"/>
      <c r="C321" s="933"/>
      <c r="D321" s="933"/>
      <c r="E321" s="712"/>
    </row>
    <row r="322" spans="1:5" ht="12.75">
      <c r="A322" s="933"/>
      <c r="B322" s="933"/>
      <c r="C322" s="933"/>
      <c r="D322" s="933"/>
      <c r="E322" s="712"/>
    </row>
    <row r="323" spans="1:5" ht="12.75">
      <c r="A323" s="933"/>
      <c r="B323" s="933"/>
      <c r="C323" s="933"/>
      <c r="D323" s="933"/>
      <c r="E323" s="712"/>
    </row>
    <row r="324" spans="1:5" ht="12.75">
      <c r="A324" s="933"/>
      <c r="B324" s="933"/>
      <c r="C324" s="933"/>
      <c r="D324" s="933"/>
      <c r="E324" s="712"/>
    </row>
    <row r="325" spans="1:5" ht="12.75">
      <c r="A325" s="933"/>
      <c r="B325" s="933"/>
      <c r="C325" s="933"/>
      <c r="D325" s="933"/>
      <c r="E325" s="712"/>
    </row>
    <row r="326" spans="1:5" ht="12.75">
      <c r="A326" s="933"/>
      <c r="B326" s="933"/>
      <c r="C326" s="933"/>
      <c r="D326" s="933"/>
      <c r="E326" s="712"/>
    </row>
    <row r="327" spans="1:5" ht="12.75">
      <c r="A327" s="933"/>
      <c r="B327" s="933"/>
      <c r="C327" s="933"/>
      <c r="D327" s="933"/>
      <c r="E327" s="712"/>
    </row>
    <row r="328" spans="1:5" ht="12.75">
      <c r="A328" s="933"/>
      <c r="B328" s="933"/>
      <c r="C328" s="933"/>
      <c r="D328" s="933"/>
      <c r="E328" s="712"/>
    </row>
    <row r="329" spans="1:5" ht="12.75">
      <c r="A329" s="933"/>
      <c r="B329" s="933"/>
      <c r="C329" s="933"/>
      <c r="D329" s="933"/>
      <c r="E329" s="712"/>
    </row>
    <row r="330" spans="1:5" ht="12.75">
      <c r="A330" s="933"/>
      <c r="B330" s="933"/>
      <c r="C330" s="933"/>
      <c r="D330" s="933"/>
      <c r="E330" s="712"/>
    </row>
    <row r="331" spans="1:5" ht="12.75">
      <c r="A331" s="933"/>
      <c r="B331" s="933"/>
      <c r="C331" s="933"/>
      <c r="D331" s="933"/>
      <c r="E331" s="712"/>
    </row>
    <row r="332" spans="1:5" ht="12.75">
      <c r="A332" s="933"/>
      <c r="B332" s="933"/>
      <c r="C332" s="933"/>
      <c r="D332" s="933"/>
      <c r="E332" s="712"/>
    </row>
    <row r="333" spans="1:5" ht="12.75">
      <c r="A333" s="933"/>
      <c r="B333" s="933"/>
      <c r="C333" s="933"/>
      <c r="D333" s="933"/>
      <c r="E333" s="712"/>
    </row>
    <row r="334" spans="1:5" ht="12.75">
      <c r="A334" s="933"/>
      <c r="B334" s="933"/>
      <c r="C334" s="933"/>
      <c r="D334" s="933"/>
      <c r="E334" s="712"/>
    </row>
    <row r="335" spans="1:5" ht="12.75">
      <c r="A335" s="933"/>
      <c r="B335" s="933"/>
      <c r="C335" s="933"/>
      <c r="D335" s="933"/>
      <c r="E335" s="712"/>
    </row>
    <row r="336" spans="1:5" ht="12.75">
      <c r="A336" s="933"/>
      <c r="B336" s="933"/>
      <c r="C336" s="933"/>
      <c r="D336" s="933"/>
      <c r="E336" s="712"/>
    </row>
    <row r="337" spans="1:5" ht="12.75">
      <c r="A337" s="933"/>
      <c r="B337" s="933"/>
      <c r="C337" s="933"/>
      <c r="D337" s="933"/>
      <c r="E337" s="712"/>
    </row>
    <row r="338" spans="1:5" ht="12.75">
      <c r="A338" s="933"/>
      <c r="B338" s="933"/>
      <c r="C338" s="933"/>
      <c r="D338" s="933"/>
      <c r="E338" s="712"/>
    </row>
    <row r="339" spans="1:5" ht="12.75">
      <c r="A339" s="933"/>
      <c r="B339" s="933"/>
      <c r="C339" s="933"/>
      <c r="D339" s="933"/>
      <c r="E339" s="712"/>
    </row>
    <row r="340" spans="1:5" ht="12.75">
      <c r="A340" s="933"/>
      <c r="B340" s="933"/>
      <c r="C340" s="933"/>
      <c r="D340" s="933"/>
      <c r="E340" s="712"/>
    </row>
    <row r="341" spans="1:5" ht="12.75">
      <c r="A341" s="933"/>
      <c r="B341" s="933"/>
      <c r="C341" s="933"/>
      <c r="D341" s="933"/>
      <c r="E341" s="712"/>
    </row>
    <row r="342" spans="1:5" ht="12.75">
      <c r="A342" s="933"/>
      <c r="B342" s="933"/>
      <c r="C342" s="933"/>
      <c r="D342" s="933"/>
      <c r="E342" s="712"/>
    </row>
    <row r="343" spans="1:5" ht="12.75">
      <c r="A343" s="933"/>
      <c r="B343" s="933"/>
      <c r="C343" s="933"/>
      <c r="D343" s="933"/>
      <c r="E343" s="712"/>
    </row>
    <row r="344" spans="1:5" ht="12.75">
      <c r="A344" s="933"/>
      <c r="B344" s="933"/>
      <c r="C344" s="933"/>
      <c r="D344" s="933"/>
      <c r="E344" s="712"/>
    </row>
    <row r="345" spans="1:5" ht="12.75">
      <c r="A345" s="933"/>
      <c r="B345" s="933"/>
      <c r="C345" s="933"/>
      <c r="D345" s="933"/>
      <c r="E345" s="712"/>
    </row>
    <row r="346" spans="1:5" ht="12.75">
      <c r="A346" s="933"/>
      <c r="B346" s="933"/>
      <c r="C346" s="933"/>
      <c r="D346" s="933"/>
      <c r="E346" s="712"/>
    </row>
    <row r="347" spans="1:5" ht="12.75">
      <c r="A347" s="933"/>
      <c r="B347" s="933"/>
      <c r="C347" s="933"/>
      <c r="D347" s="933"/>
      <c r="E347" s="712"/>
    </row>
    <row r="348" spans="1:5" ht="12.75">
      <c r="A348" s="933"/>
      <c r="B348" s="933"/>
      <c r="C348" s="933"/>
      <c r="D348" s="933"/>
      <c r="E348" s="712"/>
    </row>
    <row r="349" spans="1:5" ht="12.75">
      <c r="A349" s="933"/>
      <c r="B349" s="933"/>
      <c r="C349" s="933"/>
      <c r="D349" s="933"/>
      <c r="E349" s="712"/>
    </row>
    <row r="350" spans="1:5" ht="12.75">
      <c r="A350" s="933"/>
      <c r="B350" s="933"/>
      <c r="C350" s="933"/>
      <c r="D350" s="933"/>
      <c r="E350" s="712"/>
    </row>
    <row r="351" spans="1:5" ht="12.75">
      <c r="A351" s="933"/>
      <c r="B351" s="933"/>
      <c r="C351" s="933"/>
      <c r="D351" s="933"/>
      <c r="E351" s="712"/>
    </row>
    <row r="352" spans="1:5" ht="12.75">
      <c r="A352" s="933"/>
      <c r="B352" s="933"/>
      <c r="C352" s="933"/>
      <c r="D352" s="933"/>
      <c r="E352" s="712"/>
    </row>
    <row r="353" spans="1:5" ht="12.75">
      <c r="A353" s="933"/>
      <c r="B353" s="933"/>
      <c r="C353" s="933"/>
      <c r="D353" s="933"/>
      <c r="E353" s="712"/>
    </row>
    <row r="354" spans="1:5" ht="12.75">
      <c r="A354" s="933"/>
      <c r="B354" s="933"/>
      <c r="C354" s="933"/>
      <c r="D354" s="933"/>
      <c r="E354" s="712"/>
    </row>
    <row r="355" spans="1:5" ht="12.75">
      <c r="A355" s="933"/>
      <c r="B355" s="933"/>
      <c r="C355" s="933"/>
      <c r="D355" s="933"/>
      <c r="E355" s="712"/>
    </row>
    <row r="356" spans="1:5" ht="12.75">
      <c r="A356" s="933"/>
      <c r="B356" s="933"/>
      <c r="C356" s="933"/>
      <c r="D356" s="933"/>
      <c r="E356" s="712"/>
    </row>
    <row r="357" spans="1:5" ht="12.75">
      <c r="A357" s="933"/>
      <c r="B357" s="933"/>
      <c r="C357" s="933"/>
      <c r="D357" s="933"/>
      <c r="E357" s="712"/>
    </row>
    <row r="358" spans="1:5" ht="12.75">
      <c r="A358" s="933"/>
      <c r="B358" s="933"/>
      <c r="C358" s="933"/>
      <c r="D358" s="933"/>
      <c r="E358" s="712"/>
    </row>
    <row r="359" spans="1:5" ht="12.75">
      <c r="A359" s="933"/>
      <c r="B359" s="933"/>
      <c r="C359" s="933"/>
      <c r="D359" s="933"/>
      <c r="E359" s="712"/>
    </row>
    <row r="360" spans="1:5" ht="12.75">
      <c r="A360" s="933"/>
      <c r="B360" s="933"/>
      <c r="C360" s="933"/>
      <c r="D360" s="933"/>
      <c r="E360" s="712"/>
    </row>
    <row r="361" spans="1:5" ht="12.75">
      <c r="A361" s="933"/>
      <c r="B361" s="933"/>
      <c r="C361" s="933"/>
      <c r="D361" s="933"/>
      <c r="E361" s="712"/>
    </row>
    <row r="362" spans="1:5" ht="12.75">
      <c r="A362" s="933"/>
      <c r="B362" s="933"/>
      <c r="C362" s="933"/>
      <c r="D362" s="933"/>
      <c r="E362" s="712"/>
    </row>
    <row r="363" spans="1:5" ht="12.75">
      <c r="A363" s="933"/>
      <c r="B363" s="933"/>
      <c r="C363" s="933"/>
      <c r="D363" s="933"/>
      <c r="E363" s="712"/>
    </row>
    <row r="364" spans="1:5" ht="12.75">
      <c r="A364" s="933"/>
      <c r="B364" s="933"/>
      <c r="C364" s="933"/>
      <c r="D364" s="933"/>
      <c r="E364" s="712"/>
    </row>
    <row r="365" spans="1:5" ht="12.75">
      <c r="A365" s="933"/>
      <c r="B365" s="933"/>
      <c r="C365" s="933"/>
      <c r="D365" s="933"/>
      <c r="E365" s="712"/>
    </row>
    <row r="366" spans="1:5" ht="12.75">
      <c r="A366" s="933"/>
      <c r="B366" s="933"/>
      <c r="C366" s="933"/>
      <c r="D366" s="933"/>
      <c r="E366" s="712"/>
    </row>
    <row r="367" spans="1:5" ht="12.75">
      <c r="A367" s="933"/>
      <c r="B367" s="933"/>
      <c r="C367" s="933"/>
      <c r="D367" s="933"/>
      <c r="E367" s="712"/>
    </row>
    <row r="368" spans="1:5" ht="12.75">
      <c r="A368" s="933"/>
      <c r="B368" s="933"/>
      <c r="C368" s="933"/>
      <c r="D368" s="933"/>
      <c r="E368" s="712"/>
    </row>
    <row r="369" spans="1:5" ht="12.75">
      <c r="A369" s="933"/>
      <c r="B369" s="933"/>
      <c r="C369" s="933"/>
      <c r="D369" s="933"/>
      <c r="E369" s="712"/>
    </row>
    <row r="370" spans="1:5" ht="12.75">
      <c r="A370" s="933"/>
      <c r="B370" s="933"/>
      <c r="C370" s="933"/>
      <c r="D370" s="933"/>
      <c r="E370" s="712"/>
    </row>
    <row r="371" spans="1:5" ht="12.75">
      <c r="A371" s="933"/>
      <c r="B371" s="933"/>
      <c r="C371" s="933"/>
      <c r="D371" s="933"/>
      <c r="E371" s="712"/>
    </row>
    <row r="372" spans="1:5" ht="12.75">
      <c r="A372" s="933"/>
      <c r="B372" s="933"/>
      <c r="C372" s="933"/>
      <c r="D372" s="933"/>
      <c r="E372" s="712"/>
    </row>
    <row r="373" spans="1:5" ht="12.75">
      <c r="A373" s="933"/>
      <c r="B373" s="933"/>
      <c r="C373" s="933"/>
      <c r="D373" s="933"/>
      <c r="E373" s="712"/>
    </row>
    <row r="374" spans="1:5" ht="12.75">
      <c r="A374" s="933"/>
      <c r="B374" s="933"/>
      <c r="C374" s="933"/>
      <c r="D374" s="933"/>
      <c r="E374" s="712"/>
    </row>
    <row r="375" spans="1:5" ht="12.75">
      <c r="A375" s="933"/>
      <c r="B375" s="933"/>
      <c r="C375" s="933"/>
      <c r="D375" s="933"/>
      <c r="E375" s="712"/>
    </row>
    <row r="376" spans="1:5" ht="12.75">
      <c r="A376" s="933"/>
      <c r="B376" s="933"/>
      <c r="C376" s="933"/>
      <c r="D376" s="933"/>
      <c r="E376" s="712"/>
    </row>
    <row r="377" spans="1:5" ht="12.75">
      <c r="A377" s="933"/>
      <c r="B377" s="933"/>
      <c r="C377" s="933"/>
      <c r="D377" s="933"/>
      <c r="E377" s="712"/>
    </row>
    <row r="378" spans="1:5" ht="12.75">
      <c r="A378" s="933"/>
      <c r="B378" s="933"/>
      <c r="C378" s="933"/>
      <c r="D378" s="933"/>
      <c r="E378" s="712"/>
    </row>
    <row r="379" spans="1:5" ht="12.75">
      <c r="A379" s="933"/>
      <c r="B379" s="933"/>
      <c r="C379" s="933"/>
      <c r="D379" s="933"/>
      <c r="E379" s="712"/>
    </row>
    <row r="380" spans="1:5" ht="12.75">
      <c r="A380" s="933"/>
      <c r="B380" s="933"/>
      <c r="C380" s="933"/>
      <c r="D380" s="933"/>
      <c r="E380" s="712"/>
    </row>
    <row r="381" spans="1:5" ht="12.75">
      <c r="A381" s="933"/>
      <c r="B381" s="933"/>
      <c r="C381" s="933"/>
      <c r="D381" s="933"/>
      <c r="E381" s="712"/>
    </row>
    <row r="382" spans="1:5" ht="12.75">
      <c r="A382" s="933"/>
      <c r="B382" s="933"/>
      <c r="C382" s="933"/>
      <c r="D382" s="933"/>
      <c r="E382" s="712"/>
    </row>
    <row r="383" spans="1:5" ht="12.75">
      <c r="A383" s="933"/>
      <c r="B383" s="933"/>
      <c r="C383" s="933"/>
      <c r="D383" s="933"/>
      <c r="E383" s="712"/>
    </row>
    <row r="384" spans="1:5" ht="12.75">
      <c r="A384" s="933"/>
      <c r="B384" s="933"/>
      <c r="C384" s="933"/>
      <c r="D384" s="933"/>
      <c r="E384" s="712"/>
    </row>
    <row r="385" spans="1:5" ht="12.75">
      <c r="A385" s="933"/>
      <c r="B385" s="933"/>
      <c r="C385" s="933"/>
      <c r="D385" s="933"/>
      <c r="E385" s="712"/>
    </row>
    <row r="386" spans="1:5" ht="12.75">
      <c r="A386" s="933"/>
      <c r="B386" s="933"/>
      <c r="C386" s="933"/>
      <c r="D386" s="933"/>
      <c r="E386" s="712"/>
    </row>
    <row r="387" spans="1:5" ht="12.75">
      <c r="A387" s="933"/>
      <c r="B387" s="933"/>
      <c r="C387" s="933"/>
      <c r="D387" s="933"/>
      <c r="E387" s="712"/>
    </row>
    <row r="388" spans="1:5" ht="12.75">
      <c r="A388" s="933"/>
      <c r="B388" s="933"/>
      <c r="C388" s="933"/>
      <c r="D388" s="933"/>
      <c r="E388" s="712"/>
    </row>
    <row r="389" spans="1:5" ht="12.75">
      <c r="A389" s="933"/>
      <c r="B389" s="933"/>
      <c r="C389" s="933"/>
      <c r="D389" s="933"/>
      <c r="E389" s="712"/>
    </row>
    <row r="390" spans="1:5" ht="12.75">
      <c r="A390" s="933"/>
      <c r="B390" s="933"/>
      <c r="C390" s="933"/>
      <c r="D390" s="933"/>
      <c r="E390" s="712"/>
    </row>
    <row r="391" spans="1:5" ht="12.75">
      <c r="A391" s="933"/>
      <c r="B391" s="933"/>
      <c r="C391" s="933"/>
      <c r="D391" s="933"/>
      <c r="E391" s="712"/>
    </row>
    <row r="392" spans="1:5" ht="12.75">
      <c r="A392" s="933"/>
      <c r="B392" s="933"/>
      <c r="C392" s="933"/>
      <c r="D392" s="933"/>
      <c r="E392" s="712"/>
    </row>
    <row r="393" spans="1:5" ht="12.75">
      <c r="A393" s="933"/>
      <c r="B393" s="933"/>
      <c r="C393" s="933"/>
      <c r="D393" s="933"/>
      <c r="E393" s="712"/>
    </row>
    <row r="394" spans="1:5" ht="12.75">
      <c r="A394" s="933"/>
      <c r="B394" s="933"/>
      <c r="C394" s="933"/>
      <c r="D394" s="933"/>
      <c r="E394" s="712"/>
    </row>
    <row r="395" spans="1:5" ht="12.75">
      <c r="A395" s="933"/>
      <c r="B395" s="933"/>
      <c r="C395" s="933"/>
      <c r="D395" s="933"/>
      <c r="E395" s="712"/>
    </row>
    <row r="396" spans="1:5" ht="12.75">
      <c r="A396" s="933"/>
      <c r="B396" s="933"/>
      <c r="C396" s="933"/>
      <c r="D396" s="933"/>
      <c r="E396" s="712"/>
    </row>
    <row r="397" spans="1:5" ht="12.75">
      <c r="A397" s="933"/>
      <c r="B397" s="933"/>
      <c r="C397" s="933"/>
      <c r="D397" s="933"/>
      <c r="E397" s="712"/>
    </row>
    <row r="398" spans="1:5" ht="12.75">
      <c r="A398" s="933"/>
      <c r="B398" s="933"/>
      <c r="C398" s="933"/>
      <c r="D398" s="933"/>
      <c r="E398" s="712"/>
    </row>
    <row r="399" spans="1:5" ht="12.75">
      <c r="A399" s="933"/>
      <c r="B399" s="933"/>
      <c r="C399" s="933"/>
      <c r="D399" s="933"/>
      <c r="E399" s="712"/>
    </row>
    <row r="400" spans="1:5" ht="12.75">
      <c r="A400" s="933"/>
      <c r="B400" s="933"/>
      <c r="C400" s="933"/>
      <c r="D400" s="933"/>
      <c r="E400" s="712"/>
    </row>
    <row r="401" spans="1:5" ht="12.75">
      <c r="A401" s="933"/>
      <c r="B401" s="933"/>
      <c r="C401" s="933"/>
      <c r="D401" s="933"/>
      <c r="E401" s="712"/>
    </row>
    <row r="402" spans="1:5" ht="12.75">
      <c r="A402" s="933"/>
      <c r="B402" s="933"/>
      <c r="C402" s="933"/>
      <c r="D402" s="933"/>
      <c r="E402" s="712"/>
    </row>
    <row r="403" spans="1:5" ht="12.75">
      <c r="A403" s="933"/>
      <c r="B403" s="933"/>
      <c r="C403" s="933"/>
      <c r="D403" s="933"/>
      <c r="E403" s="712"/>
    </row>
    <row r="404" spans="1:5" ht="12.75">
      <c r="A404" s="933"/>
      <c r="B404" s="933"/>
      <c r="C404" s="933"/>
      <c r="D404" s="933"/>
      <c r="E404" s="712"/>
    </row>
    <row r="405" spans="1:5" ht="12.75">
      <c r="A405" s="933"/>
      <c r="B405" s="933"/>
      <c r="C405" s="933"/>
      <c r="D405" s="933"/>
      <c r="E405" s="712"/>
    </row>
    <row r="406" spans="1:5" ht="12.75">
      <c r="A406" s="933"/>
      <c r="B406" s="933"/>
      <c r="C406" s="933"/>
      <c r="D406" s="933"/>
      <c r="E406" s="712"/>
    </row>
    <row r="407" spans="1:5" ht="12.75">
      <c r="A407" s="933"/>
      <c r="B407" s="933"/>
      <c r="C407" s="933"/>
      <c r="D407" s="933"/>
      <c r="E407" s="712"/>
    </row>
    <row r="408" spans="1:5" ht="12.75">
      <c r="A408" s="933"/>
      <c r="B408" s="933"/>
      <c r="C408" s="933"/>
      <c r="D408" s="933"/>
      <c r="E408" s="712"/>
    </row>
    <row r="409" spans="1:5" ht="12.75">
      <c r="A409" s="933"/>
      <c r="B409" s="933"/>
      <c r="C409" s="933"/>
      <c r="D409" s="933"/>
      <c r="E409" s="712"/>
    </row>
    <row r="410" spans="1:5" ht="12.75">
      <c r="A410" s="933"/>
      <c r="B410" s="933"/>
      <c r="C410" s="933"/>
      <c r="D410" s="933"/>
      <c r="E410" s="712"/>
    </row>
    <row r="411" spans="1:5" ht="12.75">
      <c r="A411" s="933"/>
      <c r="B411" s="933"/>
      <c r="C411" s="933"/>
      <c r="D411" s="933"/>
      <c r="E411" s="712"/>
    </row>
    <row r="412" spans="1:5" ht="12.75">
      <c r="A412" s="933"/>
      <c r="B412" s="933"/>
      <c r="C412" s="933"/>
      <c r="D412" s="933"/>
      <c r="E412" s="712"/>
    </row>
    <row r="413" spans="1:5" ht="12.75">
      <c r="A413" s="933"/>
      <c r="B413" s="933"/>
      <c r="C413" s="933"/>
      <c r="D413" s="933"/>
      <c r="E413" s="712"/>
    </row>
    <row r="414" spans="1:5" ht="12.75">
      <c r="A414" s="933"/>
      <c r="B414" s="933"/>
      <c r="C414" s="933"/>
      <c r="D414" s="933"/>
      <c r="E414" s="712"/>
    </row>
    <row r="415" spans="1:5" ht="12.75">
      <c r="A415" s="933"/>
      <c r="B415" s="933"/>
      <c r="C415" s="933"/>
      <c r="D415" s="933"/>
      <c r="E415" s="712"/>
    </row>
    <row r="416" spans="1:5" ht="12.75">
      <c r="A416" s="933"/>
      <c r="B416" s="933"/>
      <c r="C416" s="933"/>
      <c r="D416" s="933"/>
      <c r="E416" s="712"/>
    </row>
    <row r="417" spans="1:5" ht="12.75">
      <c r="A417" s="933"/>
      <c r="B417" s="933"/>
      <c r="C417" s="933"/>
      <c r="D417" s="933"/>
      <c r="E417" s="712"/>
    </row>
    <row r="418" spans="1:5" ht="12.75">
      <c r="A418" s="933"/>
      <c r="B418" s="933"/>
      <c r="C418" s="933"/>
      <c r="D418" s="933"/>
      <c r="E418" s="712"/>
    </row>
    <row r="419" spans="1:5" ht="12.75">
      <c r="A419" s="933"/>
      <c r="B419" s="933"/>
      <c r="C419" s="933"/>
      <c r="D419" s="933"/>
      <c r="E419" s="712"/>
    </row>
    <row r="420" spans="1:5" ht="12.75">
      <c r="A420" s="933"/>
      <c r="B420" s="933"/>
      <c r="C420" s="933"/>
      <c r="D420" s="933"/>
      <c r="E420" s="712"/>
    </row>
    <row r="421" spans="1:5" ht="12.75">
      <c r="A421" s="933"/>
      <c r="B421" s="933"/>
      <c r="C421" s="933"/>
      <c r="D421" s="933"/>
      <c r="E421" s="712"/>
    </row>
    <row r="422" spans="1:5" ht="12.75">
      <c r="A422" s="933"/>
      <c r="B422" s="933"/>
      <c r="C422" s="933"/>
      <c r="D422" s="933"/>
      <c r="E422" s="712"/>
    </row>
    <row r="423" spans="1:5" ht="12.75">
      <c r="A423" s="933"/>
      <c r="B423" s="933"/>
      <c r="C423" s="933"/>
      <c r="D423" s="933"/>
      <c r="E423" s="712"/>
    </row>
    <row r="424" spans="1:5" ht="12.75">
      <c r="A424" s="933"/>
      <c r="B424" s="933"/>
      <c r="C424" s="933"/>
      <c r="D424" s="933"/>
      <c r="E424" s="712"/>
    </row>
    <row r="425" spans="1:5" ht="12.75">
      <c r="A425" s="933"/>
      <c r="B425" s="933"/>
      <c r="C425" s="933"/>
      <c r="D425" s="933"/>
      <c r="E425" s="712"/>
    </row>
    <row r="426" spans="1:5" ht="12.75">
      <c r="A426" s="933"/>
      <c r="B426" s="933"/>
      <c r="C426" s="933"/>
      <c r="D426" s="933"/>
      <c r="E426" s="712"/>
    </row>
    <row r="427" spans="1:5" ht="12.75">
      <c r="A427" s="933"/>
      <c r="B427" s="933"/>
      <c r="C427" s="933"/>
      <c r="D427" s="933"/>
      <c r="E427" s="712"/>
    </row>
    <row r="428" spans="1:5" ht="12.75">
      <c r="A428" s="933"/>
      <c r="B428" s="933"/>
      <c r="C428" s="933"/>
      <c r="D428" s="933"/>
      <c r="E428" s="712"/>
    </row>
    <row r="429" spans="1:5" ht="12.75">
      <c r="A429" s="933"/>
      <c r="B429" s="933"/>
      <c r="C429" s="933"/>
      <c r="D429" s="933"/>
      <c r="E429" s="712"/>
    </row>
    <row r="430" spans="1:5" ht="12.75">
      <c r="A430" s="933"/>
      <c r="B430" s="933"/>
      <c r="C430" s="933"/>
      <c r="D430" s="933"/>
      <c r="E430" s="712"/>
    </row>
    <row r="431" spans="1:5" ht="12.75">
      <c r="A431" s="933"/>
      <c r="B431" s="933"/>
      <c r="C431" s="933"/>
      <c r="D431" s="933"/>
      <c r="E431" s="712"/>
    </row>
    <row r="432" spans="1:5" ht="12.75">
      <c r="A432" s="933"/>
      <c r="B432" s="933"/>
      <c r="C432" s="933"/>
      <c r="D432" s="933"/>
      <c r="E432" s="712"/>
    </row>
    <row r="433" spans="1:5" ht="12.75">
      <c r="A433" s="933"/>
      <c r="B433" s="933"/>
      <c r="C433" s="933"/>
      <c r="D433" s="933"/>
      <c r="E433" s="712"/>
    </row>
    <row r="434" spans="1:5" ht="12.75">
      <c r="A434" s="933"/>
      <c r="B434" s="933"/>
      <c r="C434" s="933"/>
      <c r="D434" s="933"/>
      <c r="E434" s="712"/>
    </row>
    <row r="435" spans="1:5" ht="12.75">
      <c r="A435" s="933"/>
      <c r="B435" s="933"/>
      <c r="C435" s="933"/>
      <c r="D435" s="933"/>
      <c r="E435" s="712"/>
    </row>
    <row r="436" spans="1:5" ht="12.75">
      <c r="A436" s="933"/>
      <c r="B436" s="933"/>
      <c r="C436" s="933"/>
      <c r="D436" s="933"/>
      <c r="E436" s="712"/>
    </row>
    <row r="437" spans="1:5" ht="12.75">
      <c r="A437" s="933"/>
      <c r="B437" s="933"/>
      <c r="C437" s="933"/>
      <c r="D437" s="933"/>
      <c r="E437" s="712"/>
    </row>
    <row r="438" spans="1:5" ht="12.75">
      <c r="A438" s="933"/>
      <c r="B438" s="933"/>
      <c r="C438" s="933"/>
      <c r="D438" s="933"/>
      <c r="E438" s="712"/>
    </row>
    <row r="439" spans="1:5" ht="12.75">
      <c r="A439" s="933"/>
      <c r="B439" s="933"/>
      <c r="C439" s="933"/>
      <c r="D439" s="933"/>
      <c r="E439" s="712"/>
    </row>
    <row r="440" spans="1:5" ht="12.75">
      <c r="A440" s="933"/>
      <c r="B440" s="933"/>
      <c r="C440" s="933"/>
      <c r="D440" s="933"/>
      <c r="E440" s="712"/>
    </row>
    <row r="441" spans="1:5" ht="12.75">
      <c r="A441" s="933"/>
      <c r="B441" s="933"/>
      <c r="C441" s="933"/>
      <c r="D441" s="933"/>
      <c r="E441" s="712"/>
    </row>
    <row r="442" spans="1:5" ht="12.75">
      <c r="A442" s="933"/>
      <c r="B442" s="933"/>
      <c r="C442" s="933"/>
      <c r="D442" s="933"/>
      <c r="E442" s="712"/>
    </row>
    <row r="443" spans="1:5" ht="12.75">
      <c r="A443" s="933"/>
      <c r="B443" s="933"/>
      <c r="C443" s="933"/>
      <c r="D443" s="933"/>
      <c r="E443" s="712"/>
    </row>
    <row r="444" spans="1:5" ht="12.75">
      <c r="A444" s="933"/>
      <c r="B444" s="933"/>
      <c r="C444" s="933"/>
      <c r="D444" s="933"/>
      <c r="E444" s="712"/>
    </row>
    <row r="445" spans="1:5" ht="12.75">
      <c r="A445" s="933"/>
      <c r="B445" s="933"/>
      <c r="C445" s="933"/>
      <c r="D445" s="933"/>
      <c r="E445" s="712"/>
    </row>
    <row r="446" spans="1:5" ht="12.75">
      <c r="A446" s="933"/>
      <c r="B446" s="933"/>
      <c r="C446" s="933"/>
      <c r="D446" s="933"/>
      <c r="E446" s="712"/>
    </row>
    <row r="447" spans="1:5" ht="12.75">
      <c r="A447" s="933"/>
      <c r="B447" s="933"/>
      <c r="C447" s="933"/>
      <c r="D447" s="933"/>
      <c r="E447" s="712"/>
    </row>
    <row r="448" spans="1:5" ht="12.75">
      <c r="A448" s="933"/>
      <c r="B448" s="933"/>
      <c r="C448" s="933"/>
      <c r="D448" s="933"/>
      <c r="E448" s="712"/>
    </row>
    <row r="449" spans="1:5" ht="12.75">
      <c r="A449" s="933"/>
      <c r="B449" s="933"/>
      <c r="C449" s="933"/>
      <c r="D449" s="933"/>
      <c r="E449" s="712"/>
    </row>
    <row r="450" spans="1:5" ht="12.75">
      <c r="A450" s="933"/>
      <c r="B450" s="933"/>
      <c r="C450" s="933"/>
      <c r="D450" s="933"/>
      <c r="E450" s="712"/>
    </row>
    <row r="451" spans="1:5" ht="12.75">
      <c r="A451" s="933"/>
      <c r="B451" s="933"/>
      <c r="C451" s="933"/>
      <c r="D451" s="933"/>
      <c r="E451" s="712"/>
    </row>
    <row r="452" spans="1:5" ht="12.75">
      <c r="A452" s="933"/>
      <c r="B452" s="933"/>
      <c r="C452" s="933"/>
      <c r="D452" s="933"/>
      <c r="E452" s="712"/>
    </row>
    <row r="453" spans="1:5" ht="12.75">
      <c r="A453" s="933"/>
      <c r="B453" s="933"/>
      <c r="C453" s="933"/>
      <c r="D453" s="933"/>
      <c r="E453" s="712"/>
    </row>
    <row r="454" spans="1:5" ht="12.75">
      <c r="A454" s="933"/>
      <c r="B454" s="933"/>
      <c r="C454" s="933"/>
      <c r="D454" s="933"/>
      <c r="E454" s="712"/>
    </row>
    <row r="455" spans="1:5" ht="12.75">
      <c r="A455" s="933"/>
      <c r="B455" s="933"/>
      <c r="C455" s="933"/>
      <c r="D455" s="933"/>
      <c r="E455" s="712"/>
    </row>
    <row r="456" spans="1:5" ht="12.75">
      <c r="A456" s="933"/>
      <c r="B456" s="933"/>
      <c r="C456" s="933"/>
      <c r="D456" s="933"/>
      <c r="E456" s="712"/>
    </row>
    <row r="457" spans="1:5" ht="12.75">
      <c r="A457" s="933"/>
      <c r="B457" s="933"/>
      <c r="C457" s="933"/>
      <c r="D457" s="933"/>
      <c r="E457" s="712"/>
    </row>
    <row r="458" spans="1:5" ht="12.75">
      <c r="A458" s="933"/>
      <c r="B458" s="933"/>
      <c r="C458" s="933"/>
      <c r="D458" s="933"/>
      <c r="E458" s="712"/>
    </row>
    <row r="459" spans="1:5" ht="12.75">
      <c r="A459" s="933"/>
      <c r="B459" s="933"/>
      <c r="C459" s="933"/>
      <c r="D459" s="933"/>
      <c r="E459" s="712"/>
    </row>
    <row r="460" spans="1:5" ht="12.75">
      <c r="A460" s="933"/>
      <c r="B460" s="933"/>
      <c r="C460" s="933"/>
      <c r="D460" s="933"/>
      <c r="E460" s="712"/>
    </row>
    <row r="461" spans="1:5" ht="12.75">
      <c r="A461" s="933"/>
      <c r="B461" s="933"/>
      <c r="C461" s="933"/>
      <c r="D461" s="933"/>
      <c r="E461" s="712"/>
    </row>
    <row r="462" spans="1:5" ht="12.75">
      <c r="A462" s="933"/>
      <c r="B462" s="933"/>
      <c r="C462" s="933"/>
      <c r="D462" s="933"/>
      <c r="E462" s="712"/>
    </row>
    <row r="463" spans="1:5" ht="12.75">
      <c r="A463" s="933"/>
      <c r="B463" s="933"/>
      <c r="C463" s="933"/>
      <c r="D463" s="933"/>
      <c r="E463" s="712"/>
    </row>
    <row r="464" spans="1:5" ht="12.75">
      <c r="A464" s="933"/>
      <c r="B464" s="933"/>
      <c r="C464" s="933"/>
      <c r="D464" s="933"/>
      <c r="E464" s="712"/>
    </row>
    <row r="465" spans="1:5" ht="12.75">
      <c r="A465" s="933"/>
      <c r="B465" s="933"/>
      <c r="C465" s="933"/>
      <c r="D465" s="933"/>
      <c r="E465" s="712"/>
    </row>
    <row r="466" spans="1:5" ht="12.75">
      <c r="A466" s="933"/>
      <c r="B466" s="933"/>
      <c r="C466" s="933"/>
      <c r="D466" s="933"/>
      <c r="E466" s="712"/>
    </row>
    <row r="467" spans="1:5" ht="12.75">
      <c r="A467" s="933"/>
      <c r="B467" s="933"/>
      <c r="C467" s="933"/>
      <c r="D467" s="933"/>
      <c r="E467" s="712"/>
    </row>
    <row r="468" spans="1:5" ht="12.75">
      <c r="A468" s="933"/>
      <c r="B468" s="933"/>
      <c r="C468" s="933"/>
      <c r="D468" s="933"/>
      <c r="E468" s="712"/>
    </row>
    <row r="469" spans="1:5" ht="12.75">
      <c r="A469" s="933"/>
      <c r="B469" s="933"/>
      <c r="C469" s="933"/>
      <c r="D469" s="933"/>
      <c r="E469" s="712"/>
    </row>
    <row r="470" spans="1:5" ht="12.75">
      <c r="A470" s="933"/>
      <c r="B470" s="933"/>
      <c r="C470" s="933"/>
      <c r="D470" s="933"/>
      <c r="E470" s="712"/>
    </row>
    <row r="471" spans="1:5" ht="12.75">
      <c r="A471" s="933"/>
      <c r="B471" s="933"/>
      <c r="C471" s="933"/>
      <c r="D471" s="933"/>
      <c r="E471" s="712"/>
    </row>
    <row r="472" spans="1:5" ht="12.75">
      <c r="A472" s="933"/>
      <c r="B472" s="933"/>
      <c r="C472" s="933"/>
      <c r="D472" s="933"/>
      <c r="E472" s="712"/>
    </row>
    <row r="473" spans="1:5" ht="12.75">
      <c r="A473" s="933"/>
      <c r="B473" s="933"/>
      <c r="C473" s="933"/>
      <c r="D473" s="933"/>
      <c r="E473" s="712"/>
    </row>
    <row r="474" spans="1:5" ht="12.75">
      <c r="A474" s="933"/>
      <c r="B474" s="933"/>
      <c r="C474" s="933"/>
      <c r="D474" s="933"/>
      <c r="E474" s="712"/>
    </row>
    <row r="475" spans="1:5" ht="12.75">
      <c r="A475" s="933"/>
      <c r="B475" s="933"/>
      <c r="C475" s="933"/>
      <c r="D475" s="933"/>
      <c r="E475" s="712"/>
    </row>
    <row r="476" spans="1:5" ht="12.75">
      <c r="A476" s="933"/>
      <c r="B476" s="933"/>
      <c r="C476" s="933"/>
      <c r="D476" s="933"/>
      <c r="E476" s="712"/>
    </row>
    <row r="477" spans="1:5" ht="12.75">
      <c r="A477" s="933"/>
      <c r="B477" s="933"/>
      <c r="C477" s="933"/>
      <c r="D477" s="933"/>
      <c r="E477" s="712"/>
    </row>
    <row r="478" spans="1:5" ht="12.75">
      <c r="A478" s="933"/>
      <c r="B478" s="933"/>
      <c r="C478" s="933"/>
      <c r="D478" s="933"/>
      <c r="E478" s="712"/>
    </row>
    <row r="479" spans="1:5" ht="12.75">
      <c r="A479" s="933"/>
      <c r="B479" s="933"/>
      <c r="C479" s="933"/>
      <c r="D479" s="933"/>
      <c r="E479" s="712"/>
    </row>
    <row r="480" spans="1:5" ht="12.75">
      <c r="A480" s="933"/>
      <c r="B480" s="933"/>
      <c r="C480" s="933"/>
      <c r="D480" s="933"/>
      <c r="E480" s="712"/>
    </row>
    <row r="481" spans="1:5" ht="12.75">
      <c r="A481" s="933"/>
      <c r="B481" s="933"/>
      <c r="C481" s="933"/>
      <c r="D481" s="933"/>
      <c r="E481" s="712"/>
    </row>
    <row r="482" spans="1:5" ht="12.75">
      <c r="A482" s="933"/>
      <c r="B482" s="933"/>
      <c r="C482" s="933"/>
      <c r="D482" s="933"/>
      <c r="E482" s="712"/>
    </row>
    <row r="483" spans="1:5" ht="12.75">
      <c r="A483" s="933"/>
      <c r="B483" s="933"/>
      <c r="C483" s="933"/>
      <c r="D483" s="933"/>
      <c r="E483" s="712"/>
    </row>
    <row r="484" spans="1:5" ht="12.75">
      <c r="A484" s="933"/>
      <c r="B484" s="933"/>
      <c r="C484" s="933"/>
      <c r="D484" s="933"/>
      <c r="E484" s="712"/>
    </row>
    <row r="485" spans="1:5" ht="12.75">
      <c r="A485" s="933"/>
      <c r="B485" s="933"/>
      <c r="C485" s="933"/>
      <c r="D485" s="933"/>
      <c r="E485" s="712"/>
    </row>
    <row r="486" spans="1:5" ht="12.75">
      <c r="A486" s="933"/>
      <c r="B486" s="933"/>
      <c r="C486" s="933"/>
      <c r="D486" s="933"/>
      <c r="E486" s="712"/>
    </row>
    <row r="487" spans="1:5" ht="12.75">
      <c r="A487" s="933"/>
      <c r="B487" s="933"/>
      <c r="C487" s="933"/>
      <c r="D487" s="933"/>
      <c r="E487" s="712"/>
    </row>
    <row r="488" spans="1:5" ht="12.75">
      <c r="A488" s="933"/>
      <c r="B488" s="933"/>
      <c r="C488" s="933"/>
      <c r="D488" s="933"/>
      <c r="E488" s="712"/>
    </row>
    <row r="489" spans="1:5" ht="12.75">
      <c r="A489" s="933"/>
      <c r="B489" s="933"/>
      <c r="C489" s="933"/>
      <c r="D489" s="933"/>
      <c r="E489" s="712"/>
    </row>
    <row r="490" spans="1:5" ht="12.75">
      <c r="A490" s="933"/>
      <c r="B490" s="933"/>
      <c r="C490" s="933"/>
      <c r="D490" s="933"/>
      <c r="E490" s="712"/>
    </row>
    <row r="491" spans="1:5" ht="12.75">
      <c r="A491" s="933"/>
      <c r="B491" s="933"/>
      <c r="C491" s="933"/>
      <c r="D491" s="933"/>
      <c r="E491" s="712"/>
    </row>
    <row r="492" spans="1:5" ht="12.75">
      <c r="A492" s="933"/>
      <c r="B492" s="933"/>
      <c r="C492" s="933"/>
      <c r="D492" s="933"/>
      <c r="E492" s="712"/>
    </row>
    <row r="493" spans="1:5" ht="12.75">
      <c r="A493" s="933"/>
      <c r="B493" s="933"/>
      <c r="C493" s="933"/>
      <c r="D493" s="933"/>
      <c r="E493" s="712"/>
    </row>
    <row r="494" spans="1:5" ht="12.75">
      <c r="A494" s="933"/>
      <c r="B494" s="933"/>
      <c r="C494" s="933"/>
      <c r="D494" s="933"/>
      <c r="E494" s="712"/>
    </row>
    <row r="495" spans="1:5" ht="12.75">
      <c r="A495" s="933"/>
      <c r="B495" s="933"/>
      <c r="C495" s="933"/>
      <c r="D495" s="933"/>
      <c r="E495" s="712"/>
    </row>
    <row r="496" spans="1:5" ht="12.75">
      <c r="A496" s="933"/>
      <c r="B496" s="933"/>
      <c r="C496" s="933"/>
      <c r="D496" s="933"/>
      <c r="E496" s="712"/>
    </row>
    <row r="497" spans="1:5" ht="12.75">
      <c r="A497" s="933"/>
      <c r="B497" s="933"/>
      <c r="C497" s="933"/>
      <c r="D497" s="933"/>
      <c r="E497" s="712"/>
    </row>
    <row r="498" spans="1:5" ht="12.75">
      <c r="A498" s="933"/>
      <c r="B498" s="933"/>
      <c r="C498" s="933"/>
      <c r="D498" s="933"/>
      <c r="E498" s="712"/>
    </row>
    <row r="499" spans="1:5" ht="12.75">
      <c r="A499" s="933"/>
      <c r="B499" s="933"/>
      <c r="C499" s="933"/>
      <c r="D499" s="933"/>
      <c r="E499" s="712"/>
    </row>
    <row r="500" spans="1:5" ht="12.75">
      <c r="A500" s="933"/>
      <c r="B500" s="933"/>
      <c r="C500" s="933"/>
      <c r="D500" s="933"/>
      <c r="E500" s="712"/>
    </row>
    <row r="501" spans="1:5" ht="12.75">
      <c r="A501" s="933"/>
      <c r="B501" s="933"/>
      <c r="C501" s="933"/>
      <c r="D501" s="933"/>
      <c r="E501" s="712"/>
    </row>
    <row r="502" spans="1:5" ht="12.75">
      <c r="A502" s="933"/>
      <c r="B502" s="933"/>
      <c r="C502" s="933"/>
      <c r="D502" s="933"/>
      <c r="E502" s="712"/>
    </row>
    <row r="503" spans="1:5" ht="12.75">
      <c r="A503" s="933"/>
      <c r="B503" s="933"/>
      <c r="C503" s="933"/>
      <c r="D503" s="933"/>
      <c r="E503" s="712"/>
    </row>
    <row r="504" spans="1:5" ht="12.75">
      <c r="A504" s="933"/>
      <c r="B504" s="933"/>
      <c r="C504" s="933"/>
      <c r="D504" s="933"/>
      <c r="E504" s="712"/>
    </row>
    <row r="505" spans="1:5" ht="12.75">
      <c r="A505" s="933"/>
      <c r="B505" s="933"/>
      <c r="C505" s="933"/>
      <c r="D505" s="933"/>
      <c r="E505" s="712"/>
    </row>
    <row r="506" spans="1:5" ht="12.75">
      <c r="A506" s="933"/>
      <c r="B506" s="933"/>
      <c r="C506" s="933"/>
      <c r="D506" s="933"/>
      <c r="E506" s="712"/>
    </row>
    <row r="507" spans="1:5" ht="12.75">
      <c r="A507" s="933"/>
      <c r="B507" s="933"/>
      <c r="C507" s="933"/>
      <c r="D507" s="933"/>
      <c r="E507" s="712"/>
    </row>
    <row r="508" spans="1:5" ht="12.75">
      <c r="A508" s="933"/>
      <c r="B508" s="933"/>
      <c r="C508" s="933"/>
      <c r="D508" s="933"/>
      <c r="E508" s="712"/>
    </row>
    <row r="509" spans="1:5" ht="12.75">
      <c r="A509" s="933"/>
      <c r="B509" s="933"/>
      <c r="C509" s="933"/>
      <c r="D509" s="933"/>
      <c r="E509" s="712"/>
    </row>
    <row r="510" spans="1:5" ht="12.75">
      <c r="A510" s="933"/>
      <c r="B510" s="933"/>
      <c r="C510" s="933"/>
      <c r="D510" s="933"/>
      <c r="E510" s="712"/>
    </row>
    <row r="511" spans="1:5" ht="12.75">
      <c r="A511" s="933"/>
      <c r="B511" s="933"/>
      <c r="C511" s="933"/>
      <c r="D511" s="933"/>
      <c r="E511" s="712"/>
    </row>
    <row r="512" spans="1:5" ht="12.75">
      <c r="A512" s="933"/>
      <c r="B512" s="933"/>
      <c r="C512" s="933"/>
      <c r="D512" s="933"/>
      <c r="E512" s="712"/>
    </row>
    <row r="513" spans="1:5" ht="12.75">
      <c r="A513" s="933"/>
      <c r="B513" s="933"/>
      <c r="C513" s="933"/>
      <c r="D513" s="933"/>
      <c r="E513" s="712"/>
    </row>
    <row r="514" spans="1:5" ht="12.75">
      <c r="A514" s="933"/>
      <c r="B514" s="933"/>
      <c r="C514" s="933"/>
      <c r="D514" s="933"/>
      <c r="E514" s="712"/>
    </row>
    <row r="515" spans="1:5" ht="12.75">
      <c r="A515" s="933"/>
      <c r="B515" s="933"/>
      <c r="C515" s="933"/>
      <c r="D515" s="933"/>
      <c r="E515" s="712"/>
    </row>
    <row r="516" spans="1:5" ht="12.75">
      <c r="A516" s="933"/>
      <c r="B516" s="933"/>
      <c r="C516" s="933"/>
      <c r="D516" s="933"/>
      <c r="E516" s="712"/>
    </row>
    <row r="517" spans="1:5" ht="12.75">
      <c r="A517" s="933"/>
      <c r="B517" s="933"/>
      <c r="C517" s="933"/>
      <c r="D517" s="933"/>
      <c r="E517" s="712"/>
    </row>
    <row r="518" spans="1:5" ht="12.75">
      <c r="A518" s="933"/>
      <c r="B518" s="933"/>
      <c r="C518" s="933"/>
      <c r="D518" s="933"/>
      <c r="E518" s="712"/>
    </row>
    <row r="519" spans="1:5" ht="12.75">
      <c r="A519" s="933"/>
      <c r="B519" s="933"/>
      <c r="C519" s="933"/>
      <c r="D519" s="933"/>
      <c r="E519" s="712"/>
    </row>
    <row r="520" spans="1:5" ht="12.75">
      <c r="A520" s="933"/>
      <c r="B520" s="933"/>
      <c r="C520" s="933"/>
      <c r="D520" s="933"/>
      <c r="E520" s="712"/>
    </row>
    <row r="521" spans="1:5" ht="12.75">
      <c r="A521" s="933"/>
      <c r="B521" s="933"/>
      <c r="C521" s="933"/>
      <c r="D521" s="933"/>
      <c r="E521" s="712"/>
    </row>
    <row r="522" spans="1:5" ht="12.75">
      <c r="A522" s="933"/>
      <c r="B522" s="933"/>
      <c r="C522" s="933"/>
      <c r="D522" s="933"/>
      <c r="E522" s="712"/>
    </row>
    <row r="523" spans="1:5" ht="12.75">
      <c r="A523" s="933"/>
      <c r="B523" s="933"/>
      <c r="C523" s="933"/>
      <c r="D523" s="933"/>
      <c r="E523" s="712"/>
    </row>
    <row r="524" spans="1:5" ht="12.75">
      <c r="A524" s="933"/>
      <c r="B524" s="933"/>
      <c r="C524" s="933"/>
      <c r="D524" s="933"/>
      <c r="E524" s="712"/>
    </row>
    <row r="525" spans="1:5" ht="12.75">
      <c r="A525" s="933"/>
      <c r="B525" s="933"/>
      <c r="C525" s="933"/>
      <c r="D525" s="933"/>
      <c r="E525" s="712"/>
    </row>
    <row r="526" spans="1:5" ht="12.75">
      <c r="A526" s="933"/>
      <c r="B526" s="933"/>
      <c r="C526" s="933"/>
      <c r="D526" s="933"/>
      <c r="E526" s="712"/>
    </row>
    <row r="527" spans="1:5" ht="12.75">
      <c r="A527" s="933"/>
      <c r="B527" s="933"/>
      <c r="C527" s="933"/>
      <c r="D527" s="933"/>
      <c r="E527" s="712"/>
    </row>
    <row r="528" spans="1:5" ht="12.75">
      <c r="A528" s="933"/>
      <c r="B528" s="933"/>
      <c r="C528" s="933"/>
      <c r="D528" s="933"/>
      <c r="E528" s="712"/>
    </row>
    <row r="529" spans="1:5" ht="12.75">
      <c r="A529" s="933"/>
      <c r="B529" s="933"/>
      <c r="C529" s="933"/>
      <c r="D529" s="933"/>
      <c r="E529" s="712"/>
    </row>
    <row r="530" spans="1:5" ht="12.75">
      <c r="A530" s="933"/>
      <c r="B530" s="933"/>
      <c r="C530" s="933"/>
      <c r="D530" s="933"/>
      <c r="E530" s="712"/>
    </row>
    <row r="531" spans="1:5" ht="12.75">
      <c r="A531" s="933"/>
      <c r="B531" s="933"/>
      <c r="C531" s="933"/>
      <c r="D531" s="933"/>
      <c r="E531" s="712"/>
    </row>
    <row r="532" spans="1:5" ht="12.75">
      <c r="A532" s="933"/>
      <c r="B532" s="933"/>
      <c r="C532" s="933"/>
      <c r="D532" s="933"/>
      <c r="E532" s="712"/>
    </row>
    <row r="533" spans="1:5" ht="12.75">
      <c r="A533" s="933"/>
      <c r="B533" s="933"/>
      <c r="C533" s="933"/>
      <c r="D533" s="933"/>
      <c r="E533" s="712"/>
    </row>
    <row r="534" spans="1:5" ht="12.75">
      <c r="A534" s="933"/>
      <c r="B534" s="933"/>
      <c r="C534" s="933"/>
      <c r="D534" s="933"/>
      <c r="E534" s="712"/>
    </row>
    <row r="535" spans="1:5" ht="12.75">
      <c r="A535" s="933"/>
      <c r="B535" s="933"/>
      <c r="C535" s="933"/>
      <c r="D535" s="933"/>
      <c r="E535" s="712"/>
    </row>
    <row r="536" spans="1:5" ht="12.75">
      <c r="A536" s="933"/>
      <c r="B536" s="933"/>
      <c r="C536" s="933"/>
      <c r="D536" s="933"/>
      <c r="E536" s="712"/>
    </row>
    <row r="537" spans="1:5" ht="12.75">
      <c r="A537" s="933"/>
      <c r="B537" s="933"/>
      <c r="C537" s="933"/>
      <c r="D537" s="933"/>
      <c r="E537" s="712"/>
    </row>
    <row r="538" spans="1:5" ht="12.75">
      <c r="A538" s="933"/>
      <c r="B538" s="933"/>
      <c r="C538" s="933"/>
      <c r="D538" s="933"/>
      <c r="E538" s="712"/>
    </row>
    <row r="539" spans="1:5" ht="12.75">
      <c r="A539" s="933"/>
      <c r="B539" s="933"/>
      <c r="C539" s="933"/>
      <c r="D539" s="933"/>
      <c r="E539" s="712"/>
    </row>
    <row r="540" spans="1:5" ht="12.75">
      <c r="A540" s="933"/>
      <c r="B540" s="933"/>
      <c r="C540" s="933"/>
      <c r="D540" s="933"/>
      <c r="E540" s="712"/>
    </row>
    <row r="541" spans="1:5" ht="12.75">
      <c r="A541" s="933"/>
      <c r="B541" s="933"/>
      <c r="C541" s="933"/>
      <c r="D541" s="933"/>
      <c r="E541" s="712"/>
    </row>
    <row r="542" spans="1:5" ht="12.75">
      <c r="A542" s="933"/>
      <c r="B542" s="933"/>
      <c r="C542" s="933"/>
      <c r="D542" s="933"/>
      <c r="E542" s="712"/>
    </row>
    <row r="543" spans="1:5" ht="12.75">
      <c r="A543" s="933"/>
      <c r="B543" s="933"/>
      <c r="C543" s="933"/>
      <c r="D543" s="933"/>
      <c r="E543" s="712"/>
    </row>
    <row r="544" spans="1:5" ht="12.75">
      <c r="A544" s="933"/>
      <c r="B544" s="933"/>
      <c r="C544" s="933"/>
      <c r="D544" s="933"/>
      <c r="E544" s="712"/>
    </row>
    <row r="545" spans="1:5" ht="12.75">
      <c r="A545" s="933"/>
      <c r="B545" s="933"/>
      <c r="C545" s="933"/>
      <c r="D545" s="933"/>
      <c r="E545" s="712"/>
    </row>
    <row r="546" spans="1:5" ht="12.75">
      <c r="A546" s="933"/>
      <c r="B546" s="933"/>
      <c r="C546" s="933"/>
      <c r="D546" s="933"/>
      <c r="E546" s="712"/>
    </row>
    <row r="547" spans="1:5" ht="12.75">
      <c r="A547" s="933"/>
      <c r="B547" s="933"/>
      <c r="C547" s="933"/>
      <c r="D547" s="933"/>
      <c r="E547" s="712"/>
    </row>
    <row r="548" spans="1:5" ht="12.75">
      <c r="A548" s="933"/>
      <c r="B548" s="933"/>
      <c r="C548" s="933"/>
      <c r="D548" s="933"/>
      <c r="E548" s="712"/>
    </row>
    <row r="549" spans="1:5" ht="12.75">
      <c r="A549" s="933"/>
      <c r="B549" s="933"/>
      <c r="C549" s="933"/>
      <c r="D549" s="933"/>
      <c r="E549" s="712"/>
    </row>
    <row r="550" spans="1:5" ht="12.75">
      <c r="A550" s="933"/>
      <c r="B550" s="933"/>
      <c r="C550" s="933"/>
      <c r="D550" s="933"/>
      <c r="E550" s="712"/>
    </row>
    <row r="551" spans="1:5" ht="12.75">
      <c r="A551" s="933"/>
      <c r="B551" s="933"/>
      <c r="C551" s="933"/>
      <c r="D551" s="933"/>
      <c r="E551" s="712"/>
    </row>
    <row r="552" spans="1:5" ht="12.75">
      <c r="A552" s="933"/>
      <c r="B552" s="933"/>
      <c r="C552" s="933"/>
      <c r="D552" s="933"/>
      <c r="E552" s="712"/>
    </row>
    <row r="553" spans="1:5" ht="12.75">
      <c r="A553" s="933"/>
      <c r="B553" s="933"/>
      <c r="C553" s="933"/>
      <c r="D553" s="933"/>
      <c r="E553" s="712"/>
    </row>
    <row r="554" spans="1:5" ht="12.75">
      <c r="A554" s="933"/>
      <c r="B554" s="933"/>
      <c r="C554" s="933"/>
      <c r="D554" s="933"/>
      <c r="E554" s="712"/>
    </row>
    <row r="555" spans="1:5" ht="12.75">
      <c r="A555" s="933"/>
      <c r="B555" s="933"/>
      <c r="C555" s="933"/>
      <c r="D555" s="933"/>
      <c r="E555" s="712"/>
    </row>
    <row r="556" spans="1:5" ht="12.75">
      <c r="A556" s="933"/>
      <c r="B556" s="933"/>
      <c r="C556" s="933"/>
      <c r="D556" s="933"/>
      <c r="E556" s="712"/>
    </row>
    <row r="557" spans="1:5" ht="12.75">
      <c r="A557" s="933"/>
      <c r="B557" s="933"/>
      <c r="C557" s="933"/>
      <c r="D557" s="933"/>
      <c r="E557" s="712"/>
    </row>
    <row r="558" spans="1:5" ht="12.75">
      <c r="A558" s="933"/>
      <c r="B558" s="933"/>
      <c r="C558" s="933"/>
      <c r="D558" s="933"/>
      <c r="E558" s="712"/>
    </row>
    <row r="559" spans="1:5" ht="12.75">
      <c r="A559" s="933"/>
      <c r="B559" s="933"/>
      <c r="C559" s="933"/>
      <c r="D559" s="933"/>
      <c r="E559" s="712"/>
    </row>
    <row r="560" spans="1:5" ht="12.75">
      <c r="A560" s="933"/>
      <c r="B560" s="933"/>
      <c r="C560" s="933"/>
      <c r="D560" s="933"/>
      <c r="E560" s="712"/>
    </row>
    <row r="561" spans="1:5" ht="12.75">
      <c r="A561" s="712"/>
      <c r="B561" s="712"/>
      <c r="C561" s="712"/>
      <c r="D561" s="712"/>
      <c r="E561" s="712"/>
    </row>
    <row r="562" spans="1:5" ht="12.75">
      <c r="A562" s="712"/>
      <c r="B562" s="712"/>
      <c r="C562" s="712"/>
      <c r="D562" s="712"/>
      <c r="E562" s="712"/>
    </row>
    <row r="563" spans="1:5" ht="12.75">
      <c r="A563" s="712"/>
      <c r="B563" s="712"/>
      <c r="C563" s="712"/>
      <c r="D563" s="712"/>
      <c r="E563" s="712"/>
    </row>
    <row r="564" spans="1:5" ht="12.75">
      <c r="A564" s="712"/>
      <c r="B564" s="712"/>
      <c r="C564" s="712"/>
      <c r="D564" s="712"/>
      <c r="E564" s="712"/>
    </row>
    <row r="565" spans="1:5" ht="12.75">
      <c r="A565" s="712"/>
      <c r="B565" s="712"/>
      <c r="C565" s="712"/>
      <c r="D565" s="712"/>
      <c r="E565" s="712"/>
    </row>
    <row r="566" spans="1:5" ht="12.75">
      <c r="A566" s="712"/>
      <c r="B566" s="712"/>
      <c r="C566" s="712"/>
      <c r="D566" s="712"/>
      <c r="E566" s="712"/>
    </row>
    <row r="567" spans="1:5" ht="12.75">
      <c r="A567" s="712"/>
      <c r="B567" s="712"/>
      <c r="C567" s="712"/>
      <c r="D567" s="712"/>
      <c r="E567" s="712"/>
    </row>
    <row r="568" spans="1:5" ht="12.75">
      <c r="A568" s="712"/>
      <c r="B568" s="712"/>
      <c r="C568" s="712"/>
      <c r="D568" s="712"/>
      <c r="E568" s="712"/>
    </row>
    <row r="569" spans="1:5" ht="12.75">
      <c r="A569" s="712"/>
      <c r="B569" s="712"/>
      <c r="C569" s="712"/>
      <c r="D569" s="712"/>
      <c r="E569" s="712"/>
    </row>
    <row r="570" spans="1:5" ht="12.75">
      <c r="A570" s="712"/>
      <c r="B570" s="712"/>
      <c r="C570" s="712"/>
      <c r="D570" s="712"/>
      <c r="E570" s="712"/>
    </row>
    <row r="571" spans="1:5" ht="12.75">
      <c r="A571" s="712"/>
      <c r="B571" s="712"/>
      <c r="C571" s="712"/>
      <c r="D571" s="712"/>
      <c r="E571" s="712"/>
    </row>
    <row r="572" spans="1:5" ht="12.75">
      <c r="A572" s="712"/>
      <c r="B572" s="712"/>
      <c r="C572" s="712"/>
      <c r="D572" s="712"/>
      <c r="E572" s="712"/>
    </row>
    <row r="573" spans="1:5" ht="12.75">
      <c r="A573" s="712"/>
      <c r="B573" s="712"/>
      <c r="C573" s="712"/>
      <c r="D573" s="712"/>
      <c r="E573" s="712"/>
    </row>
    <row r="574" spans="1:5" ht="12.75">
      <c r="A574" s="712"/>
      <c r="B574" s="712"/>
      <c r="C574" s="712"/>
      <c r="D574" s="712"/>
      <c r="E574" s="712"/>
    </row>
    <row r="575" spans="1:5" ht="12.75">
      <c r="A575" s="712"/>
      <c r="B575" s="712"/>
      <c r="C575" s="712"/>
      <c r="D575" s="712"/>
      <c r="E575" s="712"/>
    </row>
    <row r="576" spans="1:5" ht="12.75">
      <c r="A576" s="712"/>
      <c r="B576" s="712"/>
      <c r="C576" s="712"/>
      <c r="D576" s="712"/>
      <c r="E576" s="712"/>
    </row>
    <row r="577" spans="1:5" ht="12.75">
      <c r="A577" s="712"/>
      <c r="B577" s="712"/>
      <c r="C577" s="712"/>
      <c r="D577" s="712"/>
      <c r="E577" s="712"/>
    </row>
    <row r="578" spans="1:5" ht="12.75">
      <c r="A578" s="712"/>
      <c r="B578" s="712"/>
      <c r="C578" s="712"/>
      <c r="D578" s="712"/>
      <c r="E578" s="712"/>
    </row>
    <row r="579" spans="1:5" ht="12.75">
      <c r="A579" s="712"/>
      <c r="B579" s="712"/>
      <c r="C579" s="712"/>
      <c r="D579" s="712"/>
      <c r="E579" s="712"/>
    </row>
    <row r="580" spans="1:5" ht="12.75">
      <c r="A580" s="712"/>
      <c r="B580" s="712"/>
      <c r="C580" s="712"/>
      <c r="D580" s="712"/>
      <c r="E580" s="712"/>
    </row>
    <row r="581" spans="1:5" ht="12.75">
      <c r="A581" s="712"/>
      <c r="B581" s="712"/>
      <c r="C581" s="712"/>
      <c r="D581" s="712"/>
      <c r="E581" s="712"/>
    </row>
    <row r="582" spans="1:5" ht="12.75">
      <c r="A582" s="712"/>
      <c r="B582" s="712"/>
      <c r="C582" s="712"/>
      <c r="D582" s="712"/>
      <c r="E582" s="712"/>
    </row>
    <row r="583" spans="1:5" ht="12.75">
      <c r="A583" s="712"/>
      <c r="B583" s="712"/>
      <c r="C583" s="712"/>
      <c r="D583" s="712"/>
      <c r="E583" s="712"/>
    </row>
    <row r="584" spans="1:5" ht="12.75">
      <c r="A584" s="712"/>
      <c r="B584" s="712"/>
      <c r="C584" s="712"/>
      <c r="D584" s="712"/>
      <c r="E584" s="712"/>
    </row>
    <row r="585" spans="1:5" ht="12.75">
      <c r="A585" s="712"/>
      <c r="B585" s="712"/>
      <c r="C585" s="712"/>
      <c r="D585" s="712"/>
      <c r="E585" s="712"/>
    </row>
    <row r="586" spans="1:5" ht="12.75">
      <c r="A586" s="712"/>
      <c r="B586" s="712"/>
      <c r="C586" s="712"/>
      <c r="D586" s="712"/>
      <c r="E586" s="712"/>
    </row>
    <row r="587" spans="1:5" ht="12.75">
      <c r="A587" s="712"/>
      <c r="B587" s="712"/>
      <c r="C587" s="712"/>
      <c r="D587" s="712"/>
      <c r="E587" s="712"/>
    </row>
    <row r="588" spans="1:5" ht="12.75">
      <c r="A588" s="712"/>
      <c r="B588" s="712"/>
      <c r="C588" s="712"/>
      <c r="D588" s="712"/>
      <c r="E588" s="712"/>
    </row>
    <row r="589" spans="1:5" ht="12.75">
      <c r="A589" s="712"/>
      <c r="B589" s="712"/>
      <c r="C589" s="712"/>
      <c r="D589" s="712"/>
      <c r="E589" s="712"/>
    </row>
    <row r="590" spans="1:5" ht="12.75">
      <c r="A590" s="712"/>
      <c r="B590" s="712"/>
      <c r="C590" s="712"/>
      <c r="D590" s="712"/>
      <c r="E590" s="712"/>
    </row>
    <row r="591" spans="1:5" ht="12.75">
      <c r="A591" s="712"/>
      <c r="B591" s="712"/>
      <c r="C591" s="712"/>
      <c r="D591" s="712"/>
      <c r="E591" s="712"/>
    </row>
    <row r="592" spans="1:5" ht="12.75">
      <c r="A592" s="712"/>
      <c r="B592" s="712"/>
      <c r="C592" s="712"/>
      <c r="D592" s="712"/>
      <c r="E592" s="712"/>
    </row>
    <row r="593" spans="1:5" ht="12.75">
      <c r="A593" s="712"/>
      <c r="B593" s="712"/>
      <c r="C593" s="712"/>
      <c r="D593" s="712"/>
      <c r="E593" s="712"/>
    </row>
    <row r="594" spans="1:5" ht="12.75">
      <c r="A594" s="712"/>
      <c r="B594" s="712"/>
      <c r="C594" s="712"/>
      <c r="D594" s="712"/>
      <c r="E594" s="712"/>
    </row>
    <row r="595" spans="1:5" ht="12.75">
      <c r="A595" s="712"/>
      <c r="B595" s="712"/>
      <c r="C595" s="712"/>
      <c r="D595" s="712"/>
      <c r="E595" s="712"/>
    </row>
    <row r="596" spans="1:5" ht="12.75">
      <c r="A596" s="712"/>
      <c r="B596" s="712"/>
      <c r="C596" s="712"/>
      <c r="D596" s="712"/>
      <c r="E596" s="712"/>
    </row>
    <row r="597" spans="1:5" ht="12.75">
      <c r="A597" s="712"/>
      <c r="B597" s="712"/>
      <c r="C597" s="712"/>
      <c r="D597" s="712"/>
      <c r="E597" s="712"/>
    </row>
    <row r="598" spans="1:5" ht="12.75">
      <c r="A598" s="712"/>
      <c r="B598" s="712"/>
      <c r="C598" s="712"/>
      <c r="D598" s="712"/>
      <c r="E598" s="712"/>
    </row>
    <row r="599" spans="1:5" ht="12.75">
      <c r="A599" s="712"/>
      <c r="B599" s="712"/>
      <c r="C599" s="712"/>
      <c r="D599" s="712"/>
      <c r="E599" s="712"/>
    </row>
    <row r="600" spans="1:5" ht="12.75">
      <c r="A600" s="712"/>
      <c r="B600" s="712"/>
      <c r="C600" s="712"/>
      <c r="D600" s="712"/>
      <c r="E600" s="712"/>
    </row>
    <row r="601" spans="1:5" ht="12.75">
      <c r="A601" s="712"/>
      <c r="B601" s="712"/>
      <c r="C601" s="712"/>
      <c r="D601" s="712"/>
      <c r="E601" s="712"/>
    </row>
    <row r="602" spans="1:5" ht="12.75">
      <c r="A602" s="712"/>
      <c r="B602" s="712"/>
      <c r="C602" s="712"/>
      <c r="D602" s="712"/>
      <c r="E602" s="712"/>
    </row>
    <row r="603" spans="1:5" ht="12.75">
      <c r="A603" s="712"/>
      <c r="B603" s="712"/>
      <c r="C603" s="712"/>
      <c r="D603" s="712"/>
      <c r="E603" s="712"/>
    </row>
    <row r="604" spans="1:5" ht="12.75">
      <c r="A604" s="712"/>
      <c r="B604" s="712"/>
      <c r="C604" s="712"/>
      <c r="D604" s="712"/>
      <c r="E604" s="712"/>
    </row>
    <row r="605" spans="1:5" ht="12.75">
      <c r="A605" s="712"/>
      <c r="B605" s="712"/>
      <c r="C605" s="712"/>
      <c r="D605" s="712"/>
      <c r="E605" s="712"/>
    </row>
    <row r="606" spans="1:5" ht="12.75">
      <c r="A606" s="712"/>
      <c r="B606" s="712"/>
      <c r="C606" s="712"/>
      <c r="D606" s="712"/>
      <c r="E606" s="712"/>
    </row>
    <row r="607" spans="1:5" ht="12.75">
      <c r="A607" s="712"/>
      <c r="B607" s="712"/>
      <c r="C607" s="712"/>
      <c r="D607" s="712"/>
      <c r="E607" s="712"/>
    </row>
    <row r="608" spans="1:5" ht="12.75">
      <c r="A608" s="712"/>
      <c r="B608" s="712"/>
      <c r="C608" s="712"/>
      <c r="D608" s="712"/>
      <c r="E608" s="712"/>
    </row>
    <row r="609" spans="1:5" ht="12.75">
      <c r="A609" s="712"/>
      <c r="B609" s="712"/>
      <c r="C609" s="712"/>
      <c r="D609" s="712"/>
      <c r="E609" s="712"/>
    </row>
    <row r="610" spans="1:5" ht="12.75">
      <c r="A610" s="712"/>
      <c r="B610" s="712"/>
      <c r="C610" s="712"/>
      <c r="D610" s="712"/>
      <c r="E610" s="712"/>
    </row>
    <row r="611" spans="1:5" ht="12.75">
      <c r="A611" s="712"/>
      <c r="B611" s="712"/>
      <c r="C611" s="712"/>
      <c r="D611" s="712"/>
      <c r="E611" s="712"/>
    </row>
    <row r="612" spans="1:5" ht="12.75">
      <c r="A612" s="712"/>
      <c r="B612" s="712"/>
      <c r="C612" s="712"/>
      <c r="D612" s="712"/>
      <c r="E612" s="712"/>
    </row>
    <row r="613" spans="1:5" ht="12.75">
      <c r="A613" s="712"/>
      <c r="B613" s="712"/>
      <c r="C613" s="712"/>
      <c r="D613" s="712"/>
      <c r="E613" s="712"/>
    </row>
    <row r="614" spans="1:5" ht="12.75">
      <c r="A614" s="712"/>
      <c r="B614" s="712"/>
      <c r="C614" s="712"/>
      <c r="D614" s="712"/>
      <c r="E614" s="712"/>
    </row>
    <row r="615" spans="1:5" ht="12.75">
      <c r="A615" s="712"/>
      <c r="B615" s="712"/>
      <c r="C615" s="712"/>
      <c r="D615" s="712"/>
      <c r="E615" s="712"/>
    </row>
    <row r="616" spans="1:5" ht="12.75">
      <c r="A616" s="712"/>
      <c r="B616" s="712"/>
      <c r="C616" s="712"/>
      <c r="D616" s="712"/>
      <c r="E616" s="712"/>
    </row>
    <row r="617" spans="1:5" ht="12.75">
      <c r="A617" s="712"/>
      <c r="B617" s="712"/>
      <c r="C617" s="712"/>
      <c r="D617" s="712"/>
      <c r="E617" s="712"/>
    </row>
    <row r="618" spans="1:5" ht="12.75">
      <c r="A618" s="712"/>
      <c r="B618" s="712"/>
      <c r="C618" s="712"/>
      <c r="D618" s="712"/>
      <c r="E618" s="712"/>
    </row>
    <row r="619" spans="1:5" ht="12.75">
      <c r="A619" s="712"/>
      <c r="B619" s="712"/>
      <c r="C619" s="712"/>
      <c r="D619" s="712"/>
      <c r="E619" s="712"/>
    </row>
    <row r="620" spans="1:5" ht="12.75">
      <c r="A620" s="712"/>
      <c r="B620" s="712"/>
      <c r="C620" s="712"/>
      <c r="D620" s="712"/>
      <c r="E620" s="712"/>
    </row>
    <row r="621" spans="1:5" ht="12.75">
      <c r="A621" s="712"/>
      <c r="B621" s="712"/>
      <c r="C621" s="712"/>
      <c r="D621" s="712"/>
      <c r="E621" s="712"/>
    </row>
    <row r="622" spans="1:5" ht="12.75">
      <c r="A622" s="712"/>
      <c r="B622" s="712"/>
      <c r="C622" s="712"/>
      <c r="D622" s="712"/>
      <c r="E622" s="712"/>
    </row>
    <row r="623" spans="1:5" ht="12.75">
      <c r="A623" s="712"/>
      <c r="B623" s="712"/>
      <c r="C623" s="712"/>
      <c r="D623" s="712"/>
      <c r="E623" s="712"/>
    </row>
    <row r="624" spans="1:5" ht="12.75">
      <c r="A624" s="712"/>
      <c r="B624" s="712"/>
      <c r="C624" s="712"/>
      <c r="D624" s="712"/>
      <c r="E624" s="712"/>
    </row>
    <row r="625" spans="1:5" ht="12.75">
      <c r="A625" s="712"/>
      <c r="B625" s="712"/>
      <c r="C625" s="712"/>
      <c r="D625" s="712"/>
      <c r="E625" s="712"/>
    </row>
    <row r="626" spans="1:5" ht="12.75">
      <c r="A626" s="712"/>
      <c r="B626" s="712"/>
      <c r="C626" s="712"/>
      <c r="D626" s="712"/>
      <c r="E626" s="712"/>
    </row>
    <row r="627" spans="1:5" ht="12.75">
      <c r="A627" s="712"/>
      <c r="B627" s="712"/>
      <c r="C627" s="712"/>
      <c r="D627" s="712"/>
      <c r="E627" s="712"/>
    </row>
    <row r="628" spans="1:5" ht="12.75">
      <c r="A628" s="712"/>
      <c r="B628" s="712"/>
      <c r="C628" s="712"/>
      <c r="D628" s="712"/>
      <c r="E628" s="712"/>
    </row>
    <row r="629" spans="1:5" ht="12.75">
      <c r="A629" s="712"/>
      <c r="B629" s="712"/>
      <c r="C629" s="712"/>
      <c r="D629" s="712"/>
      <c r="E629" s="712"/>
    </row>
    <row r="630" spans="1:5" ht="12.75">
      <c r="A630" s="712"/>
      <c r="B630" s="712"/>
      <c r="C630" s="712"/>
      <c r="D630" s="712"/>
      <c r="E630" s="712"/>
    </row>
    <row r="631" spans="1:5" ht="12.75">
      <c r="A631" s="712"/>
      <c r="B631" s="712"/>
      <c r="C631" s="712"/>
      <c r="D631" s="712"/>
      <c r="E631" s="712"/>
    </row>
    <row r="632" spans="1:5" ht="12.75">
      <c r="A632" s="712"/>
      <c r="B632" s="712"/>
      <c r="C632" s="712"/>
      <c r="D632" s="712"/>
      <c r="E632" s="712"/>
    </row>
    <row r="633" spans="1:5" ht="12.75">
      <c r="A633" s="712"/>
      <c r="B633" s="712"/>
      <c r="C633" s="712"/>
      <c r="D633" s="712"/>
      <c r="E633" s="712"/>
    </row>
    <row r="634" spans="1:5" ht="12.75">
      <c r="A634" s="712"/>
      <c r="B634" s="712"/>
      <c r="C634" s="712"/>
      <c r="D634" s="712"/>
      <c r="E634" s="712"/>
    </row>
    <row r="635" spans="1:5" ht="12.75">
      <c r="A635" s="712"/>
      <c r="B635" s="712"/>
      <c r="C635" s="712"/>
      <c r="D635" s="712"/>
      <c r="E635" s="712"/>
    </row>
    <row r="636" spans="1:5" ht="12.75">
      <c r="A636" s="712"/>
      <c r="B636" s="712"/>
      <c r="C636" s="712"/>
      <c r="D636" s="712"/>
      <c r="E636" s="712"/>
    </row>
    <row r="637" spans="1:5" ht="12.75">
      <c r="A637" s="712"/>
      <c r="B637" s="712"/>
      <c r="C637" s="712"/>
      <c r="D637" s="712"/>
      <c r="E637" s="712"/>
    </row>
    <row r="638" spans="1:5" ht="12.75">
      <c r="A638" s="712"/>
      <c r="B638" s="712"/>
      <c r="C638" s="712"/>
      <c r="D638" s="712"/>
      <c r="E638" s="712"/>
    </row>
    <row r="639" spans="1:5" ht="12.75">
      <c r="A639" s="712"/>
      <c r="B639" s="712"/>
      <c r="C639" s="712"/>
      <c r="D639" s="712"/>
      <c r="E639" s="712"/>
    </row>
    <row r="640" spans="1:5" ht="12.75">
      <c r="A640" s="712"/>
      <c r="B640" s="712"/>
      <c r="C640" s="712"/>
      <c r="D640" s="712"/>
      <c r="E640" s="712"/>
    </row>
    <row r="641" spans="1:5" ht="12.75">
      <c r="A641" s="712"/>
      <c r="B641" s="712"/>
      <c r="C641" s="712"/>
      <c r="D641" s="712"/>
      <c r="E641" s="712"/>
    </row>
    <row r="642" spans="1:5" ht="12.75">
      <c r="A642" s="712"/>
      <c r="B642" s="712"/>
      <c r="C642" s="712"/>
      <c r="D642" s="712"/>
      <c r="E642" s="712"/>
    </row>
    <row r="643" spans="1:5" ht="12.75">
      <c r="A643" s="712"/>
      <c r="B643" s="712"/>
      <c r="C643" s="712"/>
      <c r="D643" s="712"/>
      <c r="E643" s="712"/>
    </row>
    <row r="644" spans="1:5" ht="12.75">
      <c r="A644" s="712"/>
      <c r="B644" s="712"/>
      <c r="C644" s="712"/>
      <c r="D644" s="712"/>
      <c r="E644" s="712"/>
    </row>
    <row r="645" spans="1:5" ht="12.75">
      <c r="A645" s="712"/>
      <c r="B645" s="712"/>
      <c r="C645" s="712"/>
      <c r="D645" s="712"/>
      <c r="E645" s="712"/>
    </row>
    <row r="646" spans="1:5" ht="12.75">
      <c r="A646" s="712"/>
      <c r="B646" s="712"/>
      <c r="C646" s="712"/>
      <c r="D646" s="712"/>
      <c r="E646" s="712"/>
    </row>
    <row r="647" spans="1:5" ht="12.75">
      <c r="A647" s="712"/>
      <c r="B647" s="712"/>
      <c r="C647" s="712"/>
      <c r="D647" s="712"/>
      <c r="E647" s="712"/>
    </row>
    <row r="648" spans="1:5" ht="12.75">
      <c r="A648" s="712"/>
      <c r="B648" s="712"/>
      <c r="C648" s="712"/>
      <c r="D648" s="712"/>
      <c r="E648" s="712"/>
    </row>
    <row r="649" spans="1:5" ht="12.75">
      <c r="A649" s="712"/>
      <c r="B649" s="712"/>
      <c r="C649" s="712"/>
      <c r="D649" s="712"/>
      <c r="E649" s="712"/>
    </row>
    <row r="650" spans="1:5" ht="12.75">
      <c r="A650" s="712"/>
      <c r="B650" s="712"/>
      <c r="C650" s="712"/>
      <c r="D650" s="712"/>
      <c r="E650" s="712"/>
    </row>
    <row r="651" spans="1:5" ht="12.75">
      <c r="A651" s="712"/>
      <c r="B651" s="712"/>
      <c r="C651" s="712"/>
      <c r="D651" s="712"/>
      <c r="E651" s="712"/>
    </row>
    <row r="652" spans="1:5" ht="12.75">
      <c r="A652" s="712"/>
      <c r="B652" s="712"/>
      <c r="C652" s="712"/>
      <c r="D652" s="712"/>
      <c r="E652" s="712"/>
    </row>
    <row r="653" spans="1:5" ht="12.75">
      <c r="A653" s="712"/>
      <c r="B653" s="712"/>
      <c r="C653" s="712"/>
      <c r="D653" s="712"/>
      <c r="E653" s="712"/>
    </row>
    <row r="654" spans="1:5" ht="12.75">
      <c r="A654" s="712"/>
      <c r="B654" s="712"/>
      <c r="C654" s="712"/>
      <c r="D654" s="712"/>
      <c r="E654" s="712"/>
    </row>
    <row r="655" spans="1:5" ht="12.75">
      <c r="A655" s="712"/>
      <c r="B655" s="712"/>
      <c r="C655" s="712"/>
      <c r="D655" s="712"/>
      <c r="E655" s="712"/>
    </row>
    <row r="656" spans="1:5" ht="12.75">
      <c r="A656" s="712"/>
      <c r="B656" s="712"/>
      <c r="C656" s="712"/>
      <c r="D656" s="712"/>
      <c r="E656" s="712"/>
    </row>
    <row r="657" spans="1:5" ht="12.75">
      <c r="A657" s="712"/>
      <c r="B657" s="712"/>
      <c r="C657" s="712"/>
      <c r="D657" s="712"/>
      <c r="E657" s="712"/>
    </row>
    <row r="658" spans="1:5" ht="12.75">
      <c r="A658" s="712"/>
      <c r="B658" s="712"/>
      <c r="C658" s="712"/>
      <c r="D658" s="712"/>
      <c r="E658" s="712"/>
    </row>
    <row r="659" spans="1:5" ht="12.75">
      <c r="A659" s="712"/>
      <c r="B659" s="712"/>
      <c r="C659" s="712"/>
      <c r="D659" s="712"/>
      <c r="E659" s="712"/>
    </row>
    <row r="660" spans="1:5" ht="12.75">
      <c r="A660" s="712"/>
      <c r="B660" s="712"/>
      <c r="C660" s="712"/>
      <c r="D660" s="712"/>
      <c r="E660" s="712"/>
    </row>
    <row r="661" spans="1:5" ht="12.75">
      <c r="A661" s="712"/>
      <c r="B661" s="712"/>
      <c r="C661" s="712"/>
      <c r="D661" s="712"/>
      <c r="E661" s="712"/>
    </row>
    <row r="662" spans="1:5" ht="12.75">
      <c r="A662" s="712"/>
      <c r="B662" s="712"/>
      <c r="C662" s="712"/>
      <c r="D662" s="712"/>
      <c r="E662" s="712"/>
    </row>
    <row r="663" spans="1:5" ht="12.75">
      <c r="A663" s="712"/>
      <c r="B663" s="712"/>
      <c r="C663" s="712"/>
      <c r="D663" s="712"/>
      <c r="E663" s="712"/>
    </row>
    <row r="664" spans="1:5" ht="12.75">
      <c r="A664" s="712"/>
      <c r="B664" s="712"/>
      <c r="C664" s="712"/>
      <c r="D664" s="712"/>
      <c r="E664" s="712"/>
    </row>
    <row r="665" spans="1:5" ht="12.75">
      <c r="A665" s="712"/>
      <c r="B665" s="712"/>
      <c r="C665" s="712"/>
      <c r="D665" s="712"/>
      <c r="E665" s="712"/>
    </row>
    <row r="666" spans="1:5" ht="12.75">
      <c r="A666" s="712"/>
      <c r="B666" s="712"/>
      <c r="C666" s="712"/>
      <c r="D666" s="712"/>
      <c r="E666" s="712"/>
    </row>
    <row r="667" spans="1:5" ht="12.75">
      <c r="A667" s="712"/>
      <c r="B667" s="712"/>
      <c r="C667" s="712"/>
      <c r="D667" s="712"/>
      <c r="E667" s="712"/>
    </row>
    <row r="668" spans="1:5" ht="12.75">
      <c r="A668" s="712"/>
      <c r="B668" s="712"/>
      <c r="C668" s="712"/>
      <c r="D668" s="712"/>
      <c r="E668" s="712"/>
    </row>
    <row r="669" spans="1:5" ht="12.75">
      <c r="A669" s="712"/>
      <c r="B669" s="712"/>
      <c r="C669" s="712"/>
      <c r="D669" s="712"/>
      <c r="E669" s="712"/>
    </row>
    <row r="670" spans="1:5" ht="12.75">
      <c r="A670" s="712"/>
      <c r="B670" s="712"/>
      <c r="C670" s="712"/>
      <c r="D670" s="712"/>
      <c r="E670" s="712"/>
    </row>
    <row r="671" spans="1:5" ht="12.75">
      <c r="A671" s="712"/>
      <c r="B671" s="712"/>
      <c r="C671" s="712"/>
      <c r="D671" s="712"/>
      <c r="E671" s="712"/>
    </row>
    <row r="672" spans="1:5" ht="12.75">
      <c r="A672" s="712"/>
      <c r="B672" s="712"/>
      <c r="C672" s="712"/>
      <c r="D672" s="712"/>
      <c r="E672" s="712"/>
    </row>
    <row r="673" spans="1:5" ht="12.75">
      <c r="A673" s="712"/>
      <c r="B673" s="712"/>
      <c r="C673" s="712"/>
      <c r="D673" s="712"/>
      <c r="E673" s="712"/>
    </row>
    <row r="674" spans="1:5" ht="12.75">
      <c r="A674" s="712"/>
      <c r="B674" s="712"/>
      <c r="C674" s="712"/>
      <c r="D674" s="712"/>
      <c r="E674" s="712"/>
    </row>
    <row r="675" spans="1:5" ht="12.75">
      <c r="A675" s="712"/>
      <c r="B675" s="712"/>
      <c r="C675" s="712"/>
      <c r="D675" s="712"/>
      <c r="E675" s="712"/>
    </row>
    <row r="676" spans="1:5" ht="12.75">
      <c r="A676" s="712"/>
      <c r="B676" s="712"/>
      <c r="C676" s="712"/>
      <c r="D676" s="712"/>
      <c r="E676" s="712"/>
    </row>
    <row r="677" spans="1:5" ht="12.75">
      <c r="A677" s="712"/>
      <c r="B677" s="712"/>
      <c r="C677" s="712"/>
      <c r="D677" s="712"/>
      <c r="E677" s="712"/>
    </row>
    <row r="678" spans="1:5" ht="12.75">
      <c r="A678" s="712"/>
      <c r="B678" s="712"/>
      <c r="C678" s="712"/>
      <c r="D678" s="712"/>
      <c r="E678" s="712"/>
    </row>
    <row r="679" spans="1:5" ht="12.75">
      <c r="A679" s="712"/>
      <c r="B679" s="712"/>
      <c r="C679" s="712"/>
      <c r="D679" s="712"/>
      <c r="E679" s="712"/>
    </row>
    <row r="680" spans="1:5" ht="12.75">
      <c r="A680" s="712"/>
      <c r="B680" s="712"/>
      <c r="C680" s="712"/>
      <c r="D680" s="712"/>
      <c r="E680" s="712"/>
    </row>
    <row r="681" spans="1:5" ht="12.75">
      <c r="A681" s="712"/>
      <c r="B681" s="712"/>
      <c r="C681" s="712"/>
      <c r="D681" s="712"/>
      <c r="E681" s="712"/>
    </row>
    <row r="682" spans="1:5" ht="12.75">
      <c r="A682" s="712"/>
      <c r="B682" s="712"/>
      <c r="C682" s="712"/>
      <c r="D682" s="712"/>
      <c r="E682" s="712"/>
    </row>
    <row r="683" spans="1:5" ht="12.75">
      <c r="A683" s="712"/>
      <c r="B683" s="712"/>
      <c r="C683" s="712"/>
      <c r="D683" s="712"/>
      <c r="E683" s="712"/>
    </row>
    <row r="684" spans="1:5" ht="12.75">
      <c r="A684" s="712"/>
      <c r="B684" s="712"/>
      <c r="C684" s="712"/>
      <c r="D684" s="712"/>
      <c r="E684" s="712"/>
    </row>
    <row r="685" spans="1:5" ht="12.75">
      <c r="A685" s="712"/>
      <c r="B685" s="712"/>
      <c r="C685" s="712"/>
      <c r="D685" s="712"/>
      <c r="E685" s="712"/>
    </row>
    <row r="686" spans="1:5" ht="12.75">
      <c r="A686" s="712"/>
      <c r="B686" s="712"/>
      <c r="C686" s="712"/>
      <c r="D686" s="712"/>
      <c r="E686" s="712"/>
    </row>
    <row r="687" spans="1:5" ht="12.75">
      <c r="A687" s="712"/>
      <c r="B687" s="712"/>
      <c r="C687" s="712"/>
      <c r="D687" s="712"/>
      <c r="E687" s="712"/>
    </row>
    <row r="688" spans="1:5" ht="12.75">
      <c r="A688" s="712"/>
      <c r="B688" s="712"/>
      <c r="C688" s="712"/>
      <c r="D688" s="712"/>
      <c r="E688" s="712"/>
    </row>
    <row r="689" spans="1:5" ht="12.75">
      <c r="A689" s="712"/>
      <c r="B689" s="712"/>
      <c r="C689" s="712"/>
      <c r="D689" s="712"/>
      <c r="E689" s="712"/>
    </row>
    <row r="690" spans="1:5" ht="12.75">
      <c r="A690" s="712"/>
      <c r="B690" s="712"/>
      <c r="C690" s="712"/>
      <c r="D690" s="712"/>
      <c r="E690" s="712"/>
    </row>
    <row r="691" spans="1:5" ht="12.75">
      <c r="A691" s="712"/>
      <c r="B691" s="712"/>
      <c r="C691" s="712"/>
      <c r="D691" s="712"/>
      <c r="E691" s="712"/>
    </row>
    <row r="692" spans="1:5" ht="12.75">
      <c r="A692" s="712"/>
      <c r="B692" s="712"/>
      <c r="C692" s="712"/>
      <c r="D692" s="712"/>
      <c r="E692" s="712"/>
    </row>
    <row r="693" spans="1:5" ht="12.75">
      <c r="A693" s="712"/>
      <c r="B693" s="712"/>
      <c r="C693" s="712"/>
      <c r="D693" s="712"/>
      <c r="E693" s="712"/>
    </row>
    <row r="694" spans="1:5" ht="12.75">
      <c r="A694" s="712"/>
      <c r="B694" s="712"/>
      <c r="C694" s="712"/>
      <c r="D694" s="712"/>
      <c r="E694" s="712"/>
    </row>
    <row r="695" spans="1:5" ht="12.75">
      <c r="A695" s="712"/>
      <c r="B695" s="712"/>
      <c r="C695" s="712"/>
      <c r="D695" s="712"/>
      <c r="E695" s="712"/>
    </row>
    <row r="696" spans="1:5" ht="12.75">
      <c r="A696" s="712"/>
      <c r="B696" s="712"/>
      <c r="C696" s="712"/>
      <c r="D696" s="712"/>
      <c r="E696" s="712"/>
    </row>
    <row r="697" spans="1:5" ht="12.75">
      <c r="A697" s="712"/>
      <c r="B697" s="712"/>
      <c r="C697" s="712"/>
      <c r="D697" s="712"/>
      <c r="E697" s="712"/>
    </row>
    <row r="698" spans="1:5" ht="12.75">
      <c r="A698" s="712"/>
      <c r="B698" s="712"/>
      <c r="C698" s="712"/>
      <c r="D698" s="712"/>
      <c r="E698" s="712"/>
    </row>
    <row r="699" spans="1:5" ht="12.75">
      <c r="A699" s="712"/>
      <c r="B699" s="712"/>
      <c r="C699" s="712"/>
      <c r="D699" s="712"/>
      <c r="E699" s="712"/>
    </row>
    <row r="700" spans="1:5" ht="12.75">
      <c r="A700" s="712"/>
      <c r="B700" s="712"/>
      <c r="C700" s="712"/>
      <c r="D700" s="712"/>
      <c r="E700" s="712"/>
    </row>
    <row r="701" spans="1:5" ht="12.75">
      <c r="A701" s="712"/>
      <c r="B701" s="712"/>
      <c r="C701" s="712"/>
      <c r="D701" s="712"/>
      <c r="E701" s="712"/>
    </row>
    <row r="702" spans="1:5" ht="12.75">
      <c r="A702" s="712"/>
      <c r="B702" s="712"/>
      <c r="C702" s="712"/>
      <c r="D702" s="712"/>
      <c r="E702" s="712"/>
    </row>
    <row r="703" spans="1:5" ht="12.75">
      <c r="A703" s="712"/>
      <c r="B703" s="712"/>
      <c r="C703" s="712"/>
      <c r="D703" s="712"/>
      <c r="E703" s="712"/>
    </row>
    <row r="704" spans="1:5" ht="12.75">
      <c r="A704" s="712"/>
      <c r="B704" s="712"/>
      <c r="C704" s="712"/>
      <c r="D704" s="712"/>
      <c r="E704" s="712"/>
    </row>
    <row r="705" spans="1:5" ht="12.75">
      <c r="A705" s="712"/>
      <c r="B705" s="712"/>
      <c r="C705" s="712"/>
      <c r="D705" s="712"/>
      <c r="E705" s="712"/>
    </row>
    <row r="706" spans="1:5" ht="12.75">
      <c r="A706" s="712"/>
      <c r="B706" s="712"/>
      <c r="C706" s="712"/>
      <c r="D706" s="712"/>
      <c r="E706" s="712"/>
    </row>
    <row r="707" spans="1:5" ht="12.75">
      <c r="A707" s="712"/>
      <c r="B707" s="712"/>
      <c r="C707" s="712"/>
      <c r="D707" s="712"/>
      <c r="E707" s="712"/>
    </row>
    <row r="708" spans="1:5" ht="12.75">
      <c r="A708" s="712"/>
      <c r="B708" s="712"/>
      <c r="C708" s="712"/>
      <c r="D708" s="712"/>
      <c r="E708" s="712"/>
    </row>
    <row r="709" spans="1:5" ht="12.75">
      <c r="A709" s="712"/>
      <c r="B709" s="712"/>
      <c r="C709" s="712"/>
      <c r="D709" s="712"/>
      <c r="E709" s="712"/>
    </row>
    <row r="710" spans="1:5" ht="12.75">
      <c r="A710" s="712"/>
      <c r="B710" s="712"/>
      <c r="C710" s="712"/>
      <c r="D710" s="712"/>
      <c r="E710" s="712"/>
    </row>
    <row r="711" spans="1:5" ht="12.75">
      <c r="A711" s="712"/>
      <c r="B711" s="712"/>
      <c r="C711" s="712"/>
      <c r="D711" s="712"/>
      <c r="E711" s="712"/>
    </row>
    <row r="712" spans="1:5" ht="12.75">
      <c r="A712" s="712"/>
      <c r="B712" s="712"/>
      <c r="C712" s="712"/>
      <c r="D712" s="712"/>
      <c r="E712" s="712"/>
    </row>
    <row r="713" spans="1:5" ht="12.75">
      <c r="A713" s="712"/>
      <c r="B713" s="712"/>
      <c r="C713" s="712"/>
      <c r="D713" s="712"/>
      <c r="E713" s="712"/>
    </row>
    <row r="714" spans="1:5" ht="12.75">
      <c r="A714" s="712"/>
      <c r="B714" s="712"/>
      <c r="C714" s="712"/>
      <c r="D714" s="712"/>
      <c r="E714" s="712"/>
    </row>
    <row r="715" spans="1:5" ht="12.75">
      <c r="A715" s="712"/>
      <c r="B715" s="712"/>
      <c r="C715" s="712"/>
      <c r="D715" s="712"/>
      <c r="E715" s="712"/>
    </row>
    <row r="716" spans="1:5" ht="12.75">
      <c r="A716" s="712"/>
      <c r="B716" s="712"/>
      <c r="C716" s="712"/>
      <c r="D716" s="712"/>
      <c r="E716" s="712"/>
    </row>
    <row r="717" spans="1:5" ht="12.75">
      <c r="A717" s="712"/>
      <c r="B717" s="712"/>
      <c r="C717" s="712"/>
      <c r="D717" s="712"/>
      <c r="E717" s="712"/>
    </row>
    <row r="718" spans="1:5" ht="12.75">
      <c r="A718" s="712"/>
      <c r="B718" s="712"/>
      <c r="C718" s="712"/>
      <c r="D718" s="712"/>
      <c r="E718" s="712"/>
    </row>
    <row r="719" spans="1:5" ht="12.75">
      <c r="A719" s="712"/>
      <c r="B719" s="712"/>
      <c r="C719" s="712"/>
      <c r="D719" s="712"/>
      <c r="E719" s="712"/>
    </row>
    <row r="720" spans="1:5" ht="12.75">
      <c r="A720" s="712"/>
      <c r="B720" s="712"/>
      <c r="C720" s="712"/>
      <c r="D720" s="712"/>
      <c r="E720" s="712"/>
    </row>
    <row r="721" spans="1:5" ht="12.75">
      <c r="A721" s="712"/>
      <c r="B721" s="712"/>
      <c r="C721" s="712"/>
      <c r="D721" s="712"/>
      <c r="E721" s="712"/>
    </row>
    <row r="722" spans="1:5" ht="12.75">
      <c r="A722" s="712"/>
      <c r="B722" s="712"/>
      <c r="C722" s="712"/>
      <c r="D722" s="712"/>
      <c r="E722" s="712"/>
    </row>
    <row r="723" spans="1:5" ht="12.75">
      <c r="A723" s="712"/>
      <c r="B723" s="712"/>
      <c r="C723" s="712"/>
      <c r="D723" s="712"/>
      <c r="E723" s="712"/>
    </row>
    <row r="724" spans="1:5" ht="12.75">
      <c r="A724" s="712"/>
      <c r="B724" s="712"/>
      <c r="C724" s="712"/>
      <c r="D724" s="712"/>
      <c r="E724" s="712"/>
    </row>
    <row r="725" spans="1:5" ht="12.75">
      <c r="A725" s="712"/>
      <c r="B725" s="712"/>
      <c r="C725" s="712"/>
      <c r="D725" s="712"/>
      <c r="E725" s="712"/>
    </row>
    <row r="726" spans="1:5" ht="12.75">
      <c r="A726" s="712"/>
      <c r="B726" s="712"/>
      <c r="C726" s="712"/>
      <c r="D726" s="712"/>
      <c r="E726" s="712"/>
    </row>
    <row r="727" spans="1:5" ht="12.75">
      <c r="A727" s="712"/>
      <c r="B727" s="712"/>
      <c r="C727" s="712"/>
      <c r="D727" s="712"/>
      <c r="E727" s="712"/>
    </row>
    <row r="728" spans="1:5" ht="12.75">
      <c r="A728" s="712"/>
      <c r="B728" s="712"/>
      <c r="C728" s="712"/>
      <c r="D728" s="712"/>
      <c r="E728" s="712"/>
    </row>
    <row r="729" spans="1:5" ht="12.75">
      <c r="A729" s="712"/>
      <c r="B729" s="712"/>
      <c r="C729" s="712"/>
      <c r="D729" s="712"/>
      <c r="E729" s="712"/>
    </row>
    <row r="730" spans="1:5" ht="12.75">
      <c r="A730" s="712"/>
      <c r="B730" s="712"/>
      <c r="C730" s="712"/>
      <c r="D730" s="712"/>
      <c r="E730" s="712"/>
    </row>
    <row r="731" spans="1:5" ht="12.75">
      <c r="A731" s="712"/>
      <c r="B731" s="712"/>
      <c r="C731" s="712"/>
      <c r="D731" s="712"/>
      <c r="E731" s="712"/>
    </row>
    <row r="732" spans="1:5" ht="12.75">
      <c r="A732" s="712"/>
      <c r="B732" s="712"/>
      <c r="C732" s="712"/>
      <c r="D732" s="712"/>
      <c r="E732" s="712"/>
    </row>
    <row r="733" spans="1:5" ht="12.75">
      <c r="A733" s="712"/>
      <c r="B733" s="712"/>
      <c r="C733" s="712"/>
      <c r="D733" s="712"/>
      <c r="E733" s="712"/>
    </row>
    <row r="734" spans="1:5" ht="12.75">
      <c r="A734" s="712"/>
      <c r="B734" s="712"/>
      <c r="C734" s="712"/>
      <c r="D734" s="712"/>
      <c r="E734" s="712"/>
    </row>
    <row r="735" spans="1:5" ht="12.75">
      <c r="A735" s="712"/>
      <c r="B735" s="712"/>
      <c r="C735" s="712"/>
      <c r="D735" s="712"/>
      <c r="E735" s="712"/>
    </row>
    <row r="736" spans="1:5" ht="12.75">
      <c r="A736" s="712"/>
      <c r="B736" s="712"/>
      <c r="C736" s="712"/>
      <c r="D736" s="712"/>
      <c r="E736" s="712"/>
    </row>
    <row r="737" spans="1:5" ht="12.75">
      <c r="A737" s="712"/>
      <c r="B737" s="712"/>
      <c r="C737" s="712"/>
      <c r="D737" s="712"/>
      <c r="E737" s="712"/>
    </row>
    <row r="738" spans="1:5" ht="12.75">
      <c r="A738" s="712"/>
      <c r="B738" s="712"/>
      <c r="C738" s="712"/>
      <c r="D738" s="712"/>
      <c r="E738" s="712"/>
    </row>
    <row r="739" spans="1:5" ht="12.75">
      <c r="A739" s="712"/>
      <c r="B739" s="712"/>
      <c r="C739" s="712"/>
      <c r="D739" s="712"/>
      <c r="E739" s="712"/>
    </row>
    <row r="740" spans="1:5" ht="12.75">
      <c r="A740" s="712"/>
      <c r="B740" s="712"/>
      <c r="C740" s="712"/>
      <c r="D740" s="712"/>
      <c r="E740" s="712"/>
    </row>
    <row r="741" spans="1:5" ht="12.75">
      <c r="A741" s="712"/>
      <c r="B741" s="712"/>
      <c r="C741" s="712"/>
      <c r="D741" s="712"/>
      <c r="E741" s="712"/>
    </row>
    <row r="742" spans="1:5" ht="12.75">
      <c r="A742" s="712"/>
      <c r="B742" s="712"/>
      <c r="C742" s="712"/>
      <c r="D742" s="712"/>
      <c r="E742" s="712"/>
    </row>
    <row r="743" spans="1:5" ht="12.75">
      <c r="A743" s="712"/>
      <c r="B743" s="712"/>
      <c r="C743" s="712"/>
      <c r="D743" s="712"/>
      <c r="E743" s="712"/>
    </row>
    <row r="744" spans="1:5" ht="12.75">
      <c r="A744" s="712"/>
      <c r="B744" s="712"/>
      <c r="C744" s="712"/>
      <c r="D744" s="712"/>
      <c r="E744" s="712"/>
    </row>
    <row r="745" spans="1:5" ht="12.75">
      <c r="A745" s="712"/>
      <c r="B745" s="712"/>
      <c r="C745" s="712"/>
      <c r="D745" s="712"/>
      <c r="E745" s="712"/>
    </row>
    <row r="746" spans="1:5" ht="12.75">
      <c r="A746" s="712"/>
      <c r="B746" s="712"/>
      <c r="C746" s="712"/>
      <c r="D746" s="712"/>
      <c r="E746" s="712"/>
    </row>
    <row r="747" spans="1:5" ht="12.75">
      <c r="A747" s="712"/>
      <c r="B747" s="712"/>
      <c r="C747" s="712"/>
      <c r="D747" s="712"/>
      <c r="E747" s="712"/>
    </row>
    <row r="748" spans="1:5" ht="12.75">
      <c r="A748" s="712"/>
      <c r="B748" s="712"/>
      <c r="C748" s="712"/>
      <c r="D748" s="712"/>
      <c r="E748" s="712"/>
    </row>
    <row r="749" spans="1:5" ht="12.75">
      <c r="A749" s="712"/>
      <c r="B749" s="712"/>
      <c r="C749" s="712"/>
      <c r="D749" s="712"/>
      <c r="E749" s="712"/>
    </row>
    <row r="750" spans="1:5" ht="12.75">
      <c r="A750" s="712"/>
      <c r="B750" s="712"/>
      <c r="C750" s="712"/>
      <c r="D750" s="712"/>
      <c r="E750" s="712"/>
    </row>
    <row r="751" spans="1:5" ht="12.75">
      <c r="A751" s="712"/>
      <c r="B751" s="712"/>
      <c r="C751" s="712"/>
      <c r="D751" s="712"/>
      <c r="E751" s="712"/>
    </row>
    <row r="752" spans="1:5" ht="12.75">
      <c r="A752" s="712"/>
      <c r="B752" s="712"/>
      <c r="C752" s="712"/>
      <c r="D752" s="712"/>
      <c r="E752" s="712"/>
    </row>
    <row r="753" spans="1:5" ht="12.75">
      <c r="A753" s="712"/>
      <c r="B753" s="712"/>
      <c r="C753" s="712"/>
      <c r="D753" s="712"/>
      <c r="E753" s="712"/>
    </row>
    <row r="754" spans="1:5" ht="12.75">
      <c r="A754" s="712"/>
      <c r="B754" s="712"/>
      <c r="C754" s="712"/>
      <c r="D754" s="712"/>
      <c r="E754" s="712"/>
    </row>
    <row r="755" spans="1:5" ht="12.75">
      <c r="A755" s="712"/>
      <c r="B755" s="712"/>
      <c r="C755" s="712"/>
      <c r="D755" s="712"/>
      <c r="E755" s="712"/>
    </row>
    <row r="756" spans="1:5" ht="12.75">
      <c r="A756" s="712"/>
      <c r="B756" s="712"/>
      <c r="C756" s="712"/>
      <c r="D756" s="712"/>
      <c r="E756" s="712"/>
    </row>
    <row r="757" spans="1:5" ht="12.75">
      <c r="A757" s="712"/>
      <c r="B757" s="712"/>
      <c r="C757" s="712"/>
      <c r="D757" s="712"/>
      <c r="E757" s="712"/>
    </row>
    <row r="758" spans="1:5" ht="12.75">
      <c r="A758" s="712"/>
      <c r="B758" s="712"/>
      <c r="C758" s="712"/>
      <c r="D758" s="712"/>
      <c r="E758" s="712"/>
    </row>
    <row r="759" spans="1:5" ht="12.75">
      <c r="A759" s="712"/>
      <c r="B759" s="712"/>
      <c r="C759" s="712"/>
      <c r="D759" s="712"/>
      <c r="E759" s="712"/>
    </row>
    <row r="760" spans="1:5" ht="12.75">
      <c r="A760" s="712"/>
      <c r="B760" s="712"/>
      <c r="C760" s="712"/>
      <c r="D760" s="712"/>
      <c r="E760" s="712"/>
    </row>
    <row r="761" spans="1:5" ht="12.75">
      <c r="A761" s="712"/>
      <c r="B761" s="712"/>
      <c r="C761" s="712"/>
      <c r="D761" s="712"/>
      <c r="E761" s="712"/>
    </row>
    <row r="762" spans="1:5" ht="12.75">
      <c r="A762" s="712"/>
      <c r="B762" s="712"/>
      <c r="C762" s="712"/>
      <c r="D762" s="712"/>
      <c r="E762" s="712"/>
    </row>
    <row r="763" spans="1:5" ht="12.75">
      <c r="A763" s="712"/>
      <c r="B763" s="712"/>
      <c r="C763" s="712"/>
      <c r="D763" s="712"/>
      <c r="E763" s="712"/>
    </row>
    <row r="764" spans="1:5" ht="12.75">
      <c r="A764" s="712"/>
      <c r="B764" s="712"/>
      <c r="C764" s="712"/>
      <c r="D764" s="712"/>
      <c r="E764" s="712"/>
    </row>
    <row r="765" spans="1:5" ht="12.75">
      <c r="A765" s="712"/>
      <c r="B765" s="712"/>
      <c r="C765" s="712"/>
      <c r="D765" s="712"/>
      <c r="E765" s="712"/>
    </row>
    <row r="766" spans="1:5" ht="12.75">
      <c r="A766" s="712"/>
      <c r="B766" s="712"/>
      <c r="C766" s="712"/>
      <c r="D766" s="712"/>
      <c r="E766" s="712"/>
    </row>
    <row r="767" spans="1:5" ht="12.75">
      <c r="A767" s="712"/>
      <c r="B767" s="712"/>
      <c r="C767" s="712"/>
      <c r="D767" s="712"/>
      <c r="E767" s="712"/>
    </row>
    <row r="768" spans="1:5" ht="12.75">
      <c r="A768" s="712"/>
      <c r="B768" s="712"/>
      <c r="C768" s="712"/>
      <c r="D768" s="712"/>
      <c r="E768" s="712"/>
    </row>
    <row r="769" spans="1:5" ht="12.75">
      <c r="A769" s="712"/>
      <c r="B769" s="712"/>
      <c r="C769" s="712"/>
      <c r="D769" s="712"/>
      <c r="E769" s="712"/>
    </row>
    <row r="770" spans="1:5" ht="12.75">
      <c r="A770" s="712"/>
      <c r="B770" s="712"/>
      <c r="C770" s="712"/>
      <c r="D770" s="712"/>
      <c r="E770" s="712"/>
    </row>
    <row r="771" spans="1:5" ht="12.75">
      <c r="A771" s="712"/>
      <c r="B771" s="712"/>
      <c r="C771" s="712"/>
      <c r="D771" s="712"/>
      <c r="E771" s="712"/>
    </row>
    <row r="772" spans="1:5" ht="12.75">
      <c r="A772" s="712"/>
      <c r="B772" s="712"/>
      <c r="C772" s="712"/>
      <c r="D772" s="712"/>
      <c r="E772" s="712"/>
    </row>
    <row r="773" spans="1:5" ht="12.75">
      <c r="A773" s="712"/>
      <c r="B773" s="712"/>
      <c r="C773" s="712"/>
      <c r="D773" s="712"/>
      <c r="E773" s="712"/>
    </row>
    <row r="774" spans="1:5" ht="12.75">
      <c r="A774" s="712"/>
      <c r="B774" s="712"/>
      <c r="C774" s="712"/>
      <c r="D774" s="712"/>
      <c r="E774" s="712"/>
    </row>
    <row r="775" spans="1:5" ht="12.75">
      <c r="A775" s="712"/>
      <c r="B775" s="712"/>
      <c r="C775" s="712"/>
      <c r="D775" s="712"/>
      <c r="E775" s="712"/>
    </row>
    <row r="776" spans="1:5" ht="12.75">
      <c r="A776" s="712"/>
      <c r="B776" s="712"/>
      <c r="C776" s="712"/>
      <c r="D776" s="712"/>
      <c r="E776" s="712"/>
    </row>
    <row r="777" spans="1:5" ht="12.75">
      <c r="A777" s="712"/>
      <c r="B777" s="712"/>
      <c r="C777" s="712"/>
      <c r="D777" s="712"/>
      <c r="E777" s="712"/>
    </row>
    <row r="778" spans="1:5" ht="12.75">
      <c r="A778" s="712"/>
      <c r="B778" s="712"/>
      <c r="C778" s="712"/>
      <c r="D778" s="712"/>
      <c r="E778" s="712"/>
    </row>
    <row r="779" spans="1:5" ht="12.75">
      <c r="A779" s="712"/>
      <c r="B779" s="712"/>
      <c r="C779" s="712"/>
      <c r="D779" s="712"/>
      <c r="E779" s="712"/>
    </row>
    <row r="780" spans="1:5" ht="12.75">
      <c r="A780" s="712"/>
      <c r="B780" s="712"/>
      <c r="C780" s="712"/>
      <c r="D780" s="712"/>
      <c r="E780" s="712"/>
    </row>
    <row r="781" spans="1:5" ht="12.75">
      <c r="A781" s="712"/>
      <c r="B781" s="712"/>
      <c r="C781" s="712"/>
      <c r="D781" s="712"/>
      <c r="E781" s="712"/>
    </row>
    <row r="782" spans="1:5" ht="12.75">
      <c r="A782" s="712"/>
      <c r="B782" s="712"/>
      <c r="C782" s="712"/>
      <c r="D782" s="712"/>
      <c r="E782" s="712"/>
    </row>
    <row r="783" spans="1:5" ht="12.75">
      <c r="A783" s="712"/>
      <c r="B783" s="712"/>
      <c r="C783" s="712"/>
      <c r="D783" s="712"/>
      <c r="E783" s="712"/>
    </row>
    <row r="784" spans="1:5" ht="12.75">
      <c r="A784" s="712"/>
      <c r="B784" s="712"/>
      <c r="C784" s="712"/>
      <c r="D784" s="712"/>
      <c r="E784" s="712"/>
    </row>
    <row r="785" spans="1:5" ht="12.75">
      <c r="A785" s="712"/>
      <c r="B785" s="712"/>
      <c r="C785" s="712"/>
      <c r="D785" s="712"/>
      <c r="E785" s="712"/>
    </row>
    <row r="786" spans="1:5" ht="12.75">
      <c r="A786" s="712"/>
      <c r="B786" s="712"/>
      <c r="C786" s="712"/>
      <c r="D786" s="712"/>
      <c r="E786" s="712"/>
    </row>
    <row r="787" spans="1:5" ht="12.75">
      <c r="A787" s="712"/>
      <c r="B787" s="712"/>
      <c r="C787" s="712"/>
      <c r="D787" s="712"/>
      <c r="E787" s="712"/>
    </row>
    <row r="788" spans="1:5" ht="12.75">
      <c r="A788" s="712"/>
      <c r="B788" s="712"/>
      <c r="C788" s="712"/>
      <c r="D788" s="712"/>
      <c r="E788" s="712"/>
    </row>
    <row r="789" spans="1:5" ht="12.75">
      <c r="A789" s="712"/>
      <c r="B789" s="712"/>
      <c r="C789" s="712"/>
      <c r="D789" s="712"/>
      <c r="E789" s="712"/>
    </row>
    <row r="790" spans="1:5" ht="12.75">
      <c r="A790" s="712"/>
      <c r="B790" s="712"/>
      <c r="C790" s="712"/>
      <c r="D790" s="712"/>
      <c r="E790" s="712"/>
    </row>
    <row r="791" spans="1:5" ht="12.75">
      <c r="A791" s="712"/>
      <c r="B791" s="712"/>
      <c r="C791" s="712"/>
      <c r="D791" s="712"/>
      <c r="E791" s="712"/>
    </row>
    <row r="792" spans="1:5" ht="12.75">
      <c r="A792" s="712"/>
      <c r="B792" s="712"/>
      <c r="C792" s="712"/>
      <c r="D792" s="712"/>
      <c r="E792" s="712"/>
    </row>
    <row r="793" spans="1:5" ht="12.75">
      <c r="A793" s="712"/>
      <c r="B793" s="712"/>
      <c r="C793" s="712"/>
      <c r="D793" s="712"/>
      <c r="E793" s="712"/>
    </row>
    <row r="794" spans="1:5" ht="12.75">
      <c r="A794" s="712"/>
      <c r="B794" s="712"/>
      <c r="C794" s="712"/>
      <c r="D794" s="712"/>
      <c r="E794" s="712"/>
    </row>
    <row r="795" spans="1:5" ht="12.75">
      <c r="A795" s="712"/>
      <c r="B795" s="712"/>
      <c r="C795" s="712"/>
      <c r="D795" s="712"/>
      <c r="E795" s="712"/>
    </row>
    <row r="796" spans="1:5" ht="12.75">
      <c r="A796" s="712"/>
      <c r="B796" s="712"/>
      <c r="C796" s="712"/>
      <c r="D796" s="712"/>
      <c r="E796" s="712"/>
    </row>
    <row r="797" spans="1:5" ht="12.75">
      <c r="A797" s="712"/>
      <c r="B797" s="712"/>
      <c r="C797" s="712"/>
      <c r="D797" s="712"/>
      <c r="E797" s="712"/>
    </row>
    <row r="798" spans="1:5" ht="12.75">
      <c r="A798" s="712"/>
      <c r="B798" s="712"/>
      <c r="C798" s="712"/>
      <c r="D798" s="712"/>
      <c r="E798" s="712"/>
    </row>
    <row r="799" spans="1:5" ht="12.75">
      <c r="A799" s="712"/>
      <c r="B799" s="712"/>
      <c r="C799" s="712"/>
      <c r="D799" s="712"/>
      <c r="E799" s="712"/>
    </row>
    <row r="800" spans="1:5" ht="12.75">
      <c r="A800" s="712"/>
      <c r="B800" s="712"/>
      <c r="C800" s="712"/>
      <c r="D800" s="712"/>
      <c r="E800" s="712"/>
    </row>
    <row r="801" spans="1:5" ht="12.75">
      <c r="A801" s="712"/>
      <c r="B801" s="712"/>
      <c r="C801" s="712"/>
      <c r="D801" s="712"/>
      <c r="E801" s="712"/>
    </row>
    <row r="802" spans="1:5" ht="12.75">
      <c r="A802" s="712"/>
      <c r="B802" s="712"/>
      <c r="C802" s="712"/>
      <c r="D802" s="712"/>
      <c r="E802" s="712"/>
    </row>
    <row r="803" spans="1:5" ht="12.75">
      <c r="A803" s="712"/>
      <c r="B803" s="712"/>
      <c r="C803" s="712"/>
      <c r="D803" s="712"/>
      <c r="E803" s="712"/>
    </row>
    <row r="804" spans="1:5" ht="12.75">
      <c r="A804" s="712"/>
      <c r="B804" s="712"/>
      <c r="C804" s="712"/>
      <c r="D804" s="712"/>
      <c r="E804" s="712"/>
    </row>
    <row r="805" spans="1:5" ht="12.75">
      <c r="A805" s="712"/>
      <c r="B805" s="712"/>
      <c r="C805" s="712"/>
      <c r="D805" s="712"/>
      <c r="E805" s="712"/>
    </row>
    <row r="806" spans="1:5" ht="12.75">
      <c r="A806" s="712"/>
      <c r="B806" s="712"/>
      <c r="C806" s="712"/>
      <c r="D806" s="712"/>
      <c r="E806" s="712"/>
    </row>
    <row r="807" spans="1:5" ht="12.75">
      <c r="A807" s="712"/>
      <c r="B807" s="712"/>
      <c r="C807" s="712"/>
      <c r="D807" s="712"/>
      <c r="E807" s="712"/>
    </row>
    <row r="808" spans="1:5" ht="12.75">
      <c r="A808" s="712"/>
      <c r="B808" s="712"/>
      <c r="C808" s="712"/>
      <c r="D808" s="712"/>
      <c r="E808" s="712"/>
    </row>
    <row r="809" spans="1:5" ht="12.75">
      <c r="A809" s="712"/>
      <c r="B809" s="712"/>
      <c r="C809" s="712"/>
      <c r="D809" s="712"/>
      <c r="E809" s="712"/>
    </row>
    <row r="810" spans="1:5" ht="12.75">
      <c r="A810" s="712"/>
      <c r="B810" s="712"/>
      <c r="C810" s="712"/>
      <c r="D810" s="712"/>
      <c r="E810" s="712"/>
    </row>
    <row r="811" spans="1:5" ht="12.75">
      <c r="A811" s="712"/>
      <c r="B811" s="712"/>
      <c r="C811" s="712"/>
      <c r="D811" s="712"/>
      <c r="E811" s="712"/>
    </row>
    <row r="812" spans="1:5" ht="12.75">
      <c r="A812" s="712"/>
      <c r="B812" s="712"/>
      <c r="C812" s="712"/>
      <c r="D812" s="712"/>
      <c r="E812" s="712"/>
    </row>
    <row r="813" spans="1:5" ht="12.75">
      <c r="A813" s="712"/>
      <c r="B813" s="712"/>
      <c r="C813" s="712"/>
      <c r="D813" s="712"/>
      <c r="E813" s="712"/>
    </row>
    <row r="814" spans="1:5" ht="12.75">
      <c r="A814" s="712"/>
      <c r="B814" s="712"/>
      <c r="C814" s="712"/>
      <c r="D814" s="712"/>
      <c r="E814" s="712"/>
    </row>
    <row r="815" spans="1:5" ht="12.75">
      <c r="A815" s="712"/>
      <c r="B815" s="712"/>
      <c r="C815" s="712"/>
      <c r="D815" s="712"/>
      <c r="E815" s="712"/>
    </row>
    <row r="816" spans="1:5" ht="12.75">
      <c r="A816" s="712"/>
      <c r="B816" s="712"/>
      <c r="C816" s="712"/>
      <c r="D816" s="712"/>
      <c r="E816" s="712"/>
    </row>
    <row r="817" spans="1:5" ht="12.75">
      <c r="A817" s="712"/>
      <c r="B817" s="712"/>
      <c r="C817" s="712"/>
      <c r="D817" s="712"/>
      <c r="E817" s="712"/>
    </row>
    <row r="818" spans="1:5" ht="12.75">
      <c r="A818" s="712"/>
      <c r="B818" s="712"/>
      <c r="C818" s="712"/>
      <c r="D818" s="712"/>
      <c r="E818" s="712"/>
    </row>
    <row r="819" spans="1:5" ht="12.75">
      <c r="A819" s="712"/>
      <c r="B819" s="712"/>
      <c r="C819" s="712"/>
      <c r="D819" s="712"/>
      <c r="E819" s="712"/>
    </row>
    <row r="820" spans="1:5" ht="12.75">
      <c r="A820" s="712"/>
      <c r="B820" s="712"/>
      <c r="C820" s="712"/>
      <c r="D820" s="712"/>
      <c r="E820" s="712"/>
    </row>
    <row r="821" spans="1:5" ht="12.75">
      <c r="A821" s="712"/>
      <c r="B821" s="712"/>
      <c r="C821" s="712"/>
      <c r="D821" s="712"/>
      <c r="E821" s="712"/>
    </row>
    <row r="822" spans="1:5" ht="12.75">
      <c r="A822" s="712"/>
      <c r="B822" s="712"/>
      <c r="C822" s="712"/>
      <c r="D822" s="712"/>
      <c r="E822" s="712"/>
    </row>
    <row r="823" spans="1:5" ht="12.75">
      <c r="A823" s="712"/>
      <c r="B823" s="712"/>
      <c r="C823" s="712"/>
      <c r="D823" s="712"/>
      <c r="E823" s="712"/>
    </row>
    <row r="824" spans="1:5" ht="12.75">
      <c r="A824" s="712"/>
      <c r="B824" s="712"/>
      <c r="C824" s="712"/>
      <c r="D824" s="712"/>
      <c r="E824" s="712"/>
    </row>
    <row r="825" spans="1:5" ht="12.75">
      <c r="A825" s="712"/>
      <c r="B825" s="712"/>
      <c r="C825" s="712"/>
      <c r="D825" s="712"/>
      <c r="E825" s="712"/>
    </row>
    <row r="826" spans="1:5" ht="12.75">
      <c r="A826" s="712"/>
      <c r="B826" s="712"/>
      <c r="C826" s="712"/>
      <c r="D826" s="712"/>
      <c r="E826" s="712"/>
    </row>
    <row r="827" spans="1:5" ht="12.75">
      <c r="A827" s="712"/>
      <c r="B827" s="712"/>
      <c r="C827" s="712"/>
      <c r="D827" s="712"/>
      <c r="E827" s="712"/>
    </row>
    <row r="828" spans="1:5" ht="12.75">
      <c r="A828" s="712"/>
      <c r="B828" s="712"/>
      <c r="C828" s="712"/>
      <c r="D828" s="712"/>
      <c r="E828" s="712"/>
    </row>
    <row r="829" spans="1:5" ht="12.75">
      <c r="A829" s="712"/>
      <c r="B829" s="712"/>
      <c r="C829" s="712"/>
      <c r="D829" s="712"/>
      <c r="E829" s="712"/>
    </row>
    <row r="830" spans="1:5" ht="12.75">
      <c r="A830" s="712"/>
      <c r="B830" s="712"/>
      <c r="C830" s="712"/>
      <c r="D830" s="712"/>
      <c r="E830" s="712"/>
    </row>
    <row r="831" spans="1:5" ht="12.75">
      <c r="A831" s="712"/>
      <c r="B831" s="712"/>
      <c r="C831" s="712"/>
      <c r="D831" s="712"/>
      <c r="E831" s="712"/>
    </row>
    <row r="832" spans="1:5" ht="12.75">
      <c r="A832" s="712"/>
      <c r="B832" s="712"/>
      <c r="C832" s="712"/>
      <c r="D832" s="712"/>
      <c r="E832" s="712"/>
    </row>
    <row r="833" spans="1:5" ht="12.75">
      <c r="A833" s="712"/>
      <c r="B833" s="712"/>
      <c r="C833" s="712"/>
      <c r="D833" s="712"/>
      <c r="E833" s="712"/>
    </row>
    <row r="834" spans="1:5" ht="12.75">
      <c r="A834" s="712"/>
      <c r="B834" s="712"/>
      <c r="C834" s="712"/>
      <c r="D834" s="712"/>
      <c r="E834" s="712"/>
    </row>
    <row r="835" spans="1:5" ht="12.75">
      <c r="A835" s="712"/>
      <c r="B835" s="712"/>
      <c r="C835" s="712"/>
      <c r="D835" s="712"/>
      <c r="E835" s="712"/>
    </row>
    <row r="836" spans="1:5" ht="12.75">
      <c r="A836" s="712"/>
      <c r="B836" s="712"/>
      <c r="C836" s="712"/>
      <c r="D836" s="712"/>
      <c r="E836" s="712"/>
    </row>
    <row r="837" spans="1:5" ht="12.75">
      <c r="A837" s="712"/>
      <c r="B837" s="712"/>
      <c r="C837" s="712"/>
      <c r="D837" s="712"/>
      <c r="E837" s="712"/>
    </row>
    <row r="838" spans="1:5" ht="12.75">
      <c r="A838" s="712"/>
      <c r="B838" s="712"/>
      <c r="C838" s="712"/>
      <c r="D838" s="712"/>
      <c r="E838" s="712"/>
    </row>
    <row r="839" spans="1:5" ht="12.75">
      <c r="A839" s="712"/>
      <c r="B839" s="712"/>
      <c r="C839" s="712"/>
      <c r="D839" s="712"/>
      <c r="E839" s="712"/>
    </row>
    <row r="840" spans="1:5" ht="12.75">
      <c r="A840" s="712"/>
      <c r="B840" s="712"/>
      <c r="C840" s="712"/>
      <c r="D840" s="712"/>
      <c r="E840" s="712"/>
    </row>
    <row r="841" spans="1:5" ht="12.75">
      <c r="A841" s="712"/>
      <c r="B841" s="712"/>
      <c r="C841" s="712"/>
      <c r="D841" s="712"/>
      <c r="E841" s="712"/>
    </row>
    <row r="842" spans="1:5" ht="12.75">
      <c r="A842" s="712"/>
      <c r="B842" s="712"/>
      <c r="C842" s="712"/>
      <c r="D842" s="712"/>
      <c r="E842" s="712"/>
    </row>
    <row r="843" spans="1:5" ht="12.75">
      <c r="A843" s="712"/>
      <c r="B843" s="712"/>
      <c r="C843" s="712"/>
      <c r="D843" s="712"/>
      <c r="E843" s="712"/>
    </row>
    <row r="844" spans="1:5" ht="12.75">
      <c r="A844" s="712"/>
      <c r="B844" s="712"/>
      <c r="C844" s="712"/>
      <c r="D844" s="712"/>
      <c r="E844" s="712"/>
    </row>
    <row r="845" spans="1:5" ht="12.75">
      <c r="A845" s="712"/>
      <c r="B845" s="712"/>
      <c r="C845" s="712"/>
      <c r="D845" s="712"/>
      <c r="E845" s="712"/>
    </row>
    <row r="846" spans="1:5" ht="12.75">
      <c r="A846" s="712"/>
      <c r="B846" s="712"/>
      <c r="C846" s="712"/>
      <c r="D846" s="712"/>
      <c r="E846" s="712"/>
    </row>
    <row r="847" spans="1:5" ht="12.75">
      <c r="A847" s="712"/>
      <c r="B847" s="712"/>
      <c r="C847" s="712"/>
      <c r="D847" s="712"/>
      <c r="E847" s="712"/>
    </row>
    <row r="848" spans="1:5" ht="12.75">
      <c r="A848" s="712"/>
      <c r="B848" s="712"/>
      <c r="C848" s="712"/>
      <c r="D848" s="712"/>
      <c r="E848" s="712"/>
    </row>
    <row r="849" spans="1:5" ht="12.75">
      <c r="A849" s="712"/>
      <c r="B849" s="712"/>
      <c r="C849" s="712"/>
      <c r="D849" s="712"/>
      <c r="E849" s="712"/>
    </row>
    <row r="850" spans="1:5" ht="12.75">
      <c r="A850" s="712"/>
      <c r="B850" s="712"/>
      <c r="C850" s="712"/>
      <c r="D850" s="712"/>
      <c r="E850" s="712"/>
    </row>
    <row r="851" spans="1:5" ht="12.75">
      <c r="A851" s="712"/>
      <c r="B851" s="712"/>
      <c r="C851" s="712"/>
      <c r="D851" s="712"/>
      <c r="E851" s="712"/>
    </row>
    <row r="852" spans="1:5" ht="12.75">
      <c r="A852" s="712"/>
      <c r="B852" s="712"/>
      <c r="C852" s="712"/>
      <c r="D852" s="712"/>
      <c r="E852" s="712"/>
    </row>
    <row r="853" spans="1:5" ht="12.75">
      <c r="A853" s="712"/>
      <c r="B853" s="712"/>
      <c r="C853" s="712"/>
      <c r="D853" s="712"/>
      <c r="E853" s="712"/>
    </row>
    <row r="854" spans="1:5" ht="12.75">
      <c r="A854" s="712"/>
      <c r="B854" s="712"/>
      <c r="C854" s="712"/>
      <c r="D854" s="712"/>
      <c r="E854" s="712"/>
    </row>
    <row r="855" spans="1:5" ht="12.75">
      <c r="A855" s="712"/>
      <c r="B855" s="712"/>
      <c r="C855" s="712"/>
      <c r="D855" s="712"/>
      <c r="E855" s="712"/>
    </row>
    <row r="856" spans="1:5" ht="12.75">
      <c r="A856" s="712"/>
      <c r="B856" s="712"/>
      <c r="C856" s="712"/>
      <c r="D856" s="712"/>
      <c r="E856" s="712"/>
    </row>
    <row r="857" spans="1:5" ht="12.75">
      <c r="A857" s="712"/>
      <c r="B857" s="712"/>
      <c r="C857" s="712"/>
      <c r="D857" s="712"/>
      <c r="E857" s="712"/>
    </row>
    <row r="858" spans="1:5" ht="12.75">
      <c r="A858" s="712"/>
      <c r="B858" s="712"/>
      <c r="C858" s="712"/>
      <c r="D858" s="712"/>
      <c r="E858" s="712"/>
    </row>
    <row r="859" spans="1:5" ht="12.75">
      <c r="A859" s="712"/>
      <c r="B859" s="712"/>
      <c r="C859" s="712"/>
      <c r="D859" s="712"/>
      <c r="E859" s="712"/>
    </row>
    <row r="860" spans="1:5" ht="12.75">
      <c r="A860" s="712"/>
      <c r="B860" s="712"/>
      <c r="C860" s="712"/>
      <c r="D860" s="712"/>
      <c r="E860" s="712"/>
    </row>
    <row r="861" spans="1:5" ht="12.75">
      <c r="A861" s="712"/>
      <c r="B861" s="712"/>
      <c r="C861" s="712"/>
      <c r="D861" s="712"/>
      <c r="E861" s="712"/>
    </row>
    <row r="862" spans="1:5" ht="12.75">
      <c r="A862" s="712"/>
      <c r="B862" s="712"/>
      <c r="C862" s="712"/>
      <c r="D862" s="712"/>
      <c r="E862" s="712"/>
    </row>
    <row r="863" spans="1:5" ht="12.75">
      <c r="A863" s="712"/>
      <c r="B863" s="712"/>
      <c r="C863" s="712"/>
      <c r="D863" s="712"/>
      <c r="E863" s="712"/>
    </row>
    <row r="864" spans="1:5" ht="12.75">
      <c r="A864" s="712"/>
      <c r="B864" s="712"/>
      <c r="C864" s="712"/>
      <c r="D864" s="712"/>
      <c r="E864" s="712"/>
    </row>
    <row r="865" spans="1:5" ht="12.75">
      <c r="A865" s="712"/>
      <c r="B865" s="712"/>
      <c r="C865" s="712"/>
      <c r="D865" s="712"/>
      <c r="E865" s="712"/>
    </row>
    <row r="866" spans="1:5" ht="12.75">
      <c r="A866" s="712"/>
      <c r="B866" s="712"/>
      <c r="C866" s="712"/>
      <c r="D866" s="712"/>
      <c r="E866" s="712"/>
    </row>
    <row r="867" spans="1:5" ht="12.75">
      <c r="A867" s="712"/>
      <c r="B867" s="712"/>
      <c r="C867" s="712"/>
      <c r="D867" s="712"/>
      <c r="E867" s="712"/>
    </row>
    <row r="868" spans="1:5" ht="12.75">
      <c r="A868" s="712"/>
      <c r="B868" s="712"/>
      <c r="C868" s="712"/>
      <c r="D868" s="712"/>
      <c r="E868" s="712"/>
    </row>
    <row r="869" spans="1:5" ht="12.75">
      <c r="A869" s="712"/>
      <c r="B869" s="712"/>
      <c r="C869" s="712"/>
      <c r="D869" s="712"/>
      <c r="E869" s="712"/>
    </row>
    <row r="870" spans="1:5" ht="12.75">
      <c r="A870" s="712"/>
      <c r="B870" s="712"/>
      <c r="C870" s="712"/>
      <c r="D870" s="712"/>
      <c r="E870" s="712"/>
    </row>
    <row r="871" spans="1:5" ht="12.75">
      <c r="A871" s="712"/>
      <c r="B871" s="712"/>
      <c r="C871" s="712"/>
      <c r="D871" s="712"/>
      <c r="E871" s="712"/>
    </row>
    <row r="872" spans="1:5" ht="12.75">
      <c r="A872" s="712"/>
      <c r="B872" s="712"/>
      <c r="C872" s="712"/>
      <c r="D872" s="712"/>
      <c r="E872" s="712"/>
    </row>
    <row r="873" spans="1:5" ht="12.75">
      <c r="A873" s="712"/>
      <c r="B873" s="712"/>
      <c r="C873" s="712"/>
      <c r="D873" s="712"/>
      <c r="E873" s="712"/>
    </row>
    <row r="874" spans="1:5" ht="12.75">
      <c r="A874" s="712"/>
      <c r="B874" s="712"/>
      <c r="C874" s="712"/>
      <c r="D874" s="712"/>
      <c r="E874" s="712"/>
    </row>
    <row r="875" spans="1:5" ht="12.75">
      <c r="A875" s="712"/>
      <c r="B875" s="712"/>
      <c r="C875" s="712"/>
      <c r="D875" s="712"/>
      <c r="E875" s="712"/>
    </row>
    <row r="876" spans="1:5" ht="12.75">
      <c r="A876" s="712"/>
      <c r="B876" s="712"/>
      <c r="C876" s="712"/>
      <c r="D876" s="712"/>
      <c r="E876" s="712"/>
    </row>
    <row r="877" spans="1:5" ht="12.75">
      <c r="A877" s="712"/>
      <c r="B877" s="712"/>
      <c r="C877" s="712"/>
      <c r="D877" s="712"/>
      <c r="E877" s="712"/>
    </row>
    <row r="878" spans="1:5" ht="12.75">
      <c r="A878" s="712"/>
      <c r="B878" s="712"/>
      <c r="C878" s="712"/>
      <c r="D878" s="712"/>
      <c r="E878" s="712"/>
    </row>
    <row r="879" spans="1:5" ht="12.75">
      <c r="A879" s="712"/>
      <c r="B879" s="712"/>
      <c r="C879" s="712"/>
      <c r="D879" s="712"/>
      <c r="E879" s="712"/>
    </row>
    <row r="880" spans="1:5" ht="12.75">
      <c r="A880" s="712"/>
      <c r="B880" s="712"/>
      <c r="C880" s="712"/>
      <c r="D880" s="712"/>
      <c r="E880" s="712"/>
    </row>
    <row r="881" spans="1:5" ht="12.75">
      <c r="A881" s="712"/>
      <c r="B881" s="712"/>
      <c r="C881" s="712"/>
      <c r="D881" s="712"/>
      <c r="E881" s="712"/>
    </row>
    <row r="882" spans="1:5" ht="12.75">
      <c r="A882" s="712"/>
      <c r="B882" s="712"/>
      <c r="C882" s="712"/>
      <c r="D882" s="712"/>
      <c r="E882" s="712"/>
    </row>
    <row r="883" spans="1:5" ht="12.75">
      <c r="A883" s="712"/>
      <c r="B883" s="712"/>
      <c r="C883" s="712"/>
      <c r="D883" s="712"/>
      <c r="E883" s="712"/>
    </row>
    <row r="884" spans="1:5" ht="12.75">
      <c r="A884" s="712"/>
      <c r="B884" s="712"/>
      <c r="C884" s="712"/>
      <c r="D884" s="712"/>
      <c r="E884" s="712"/>
    </row>
    <row r="885" spans="1:5" ht="12.75">
      <c r="A885" s="712"/>
      <c r="B885" s="712"/>
      <c r="C885" s="712"/>
      <c r="D885" s="712"/>
      <c r="E885" s="712"/>
    </row>
    <row r="886" spans="1:5" ht="12.75">
      <c r="A886" s="712"/>
      <c r="B886" s="712"/>
      <c r="C886" s="712"/>
      <c r="D886" s="712"/>
      <c r="E886" s="712"/>
    </row>
    <row r="887" spans="1:5" ht="12.75">
      <c r="A887" s="712"/>
      <c r="B887" s="712"/>
      <c r="C887" s="712"/>
      <c r="D887" s="712"/>
      <c r="E887" s="712"/>
    </row>
    <row r="888" spans="1:5" ht="12.75">
      <c r="A888" s="712"/>
      <c r="B888" s="712"/>
      <c r="C888" s="712"/>
      <c r="D888" s="712"/>
      <c r="E888" s="712"/>
    </row>
    <row r="889" spans="1:5" ht="12.75">
      <c r="A889" s="712"/>
      <c r="B889" s="712"/>
      <c r="C889" s="712"/>
      <c r="D889" s="712"/>
      <c r="E889" s="712"/>
    </row>
    <row r="890" spans="1:5" ht="12.75">
      <c r="A890" s="712"/>
      <c r="B890" s="712"/>
      <c r="C890" s="712"/>
      <c r="D890" s="712"/>
      <c r="E890" s="712"/>
    </row>
    <row r="891" spans="1:5" ht="12.75">
      <c r="A891" s="712"/>
      <c r="B891" s="712"/>
      <c r="C891" s="712"/>
      <c r="D891" s="712"/>
      <c r="E891" s="712"/>
    </row>
    <row r="892" spans="1:5" ht="12.75">
      <c r="A892" s="712"/>
      <c r="B892" s="712"/>
      <c r="C892" s="712"/>
      <c r="D892" s="712"/>
      <c r="E892" s="712"/>
    </row>
    <row r="893" spans="1:5" ht="12.75">
      <c r="A893" s="712"/>
      <c r="B893" s="712"/>
      <c r="C893" s="712"/>
      <c r="D893" s="712"/>
      <c r="E893" s="712"/>
    </row>
    <row r="894" spans="1:5" ht="12.75">
      <c r="A894" s="712"/>
      <c r="B894" s="712"/>
      <c r="C894" s="712"/>
      <c r="D894" s="712"/>
      <c r="E894" s="712"/>
    </row>
    <row r="895" spans="1:5" ht="12.75">
      <c r="A895" s="712"/>
      <c r="B895" s="712"/>
      <c r="C895" s="712"/>
      <c r="D895" s="712"/>
      <c r="E895" s="712"/>
    </row>
    <row r="896" spans="1:5" ht="12.75">
      <c r="A896" s="712"/>
      <c r="B896" s="712"/>
      <c r="C896" s="712"/>
      <c r="D896" s="712"/>
      <c r="E896" s="712"/>
    </row>
    <row r="897" spans="1:5" ht="12.75">
      <c r="A897" s="712"/>
      <c r="B897" s="712"/>
      <c r="C897" s="712"/>
      <c r="D897" s="712"/>
      <c r="E897" s="712"/>
    </row>
    <row r="898" spans="1:5" ht="12.75">
      <c r="A898" s="712"/>
      <c r="B898" s="712"/>
      <c r="C898" s="712"/>
      <c r="D898" s="712"/>
      <c r="E898" s="712"/>
    </row>
    <row r="899" spans="1:5" ht="12.75">
      <c r="A899" s="712"/>
      <c r="B899" s="712"/>
      <c r="C899" s="712"/>
      <c r="D899" s="712"/>
      <c r="E899" s="712"/>
    </row>
    <row r="900" spans="1:5" ht="12.75">
      <c r="A900" s="712"/>
      <c r="B900" s="712"/>
      <c r="C900" s="712"/>
      <c r="D900" s="712"/>
      <c r="E900" s="712"/>
    </row>
    <row r="901" spans="1:5" ht="12.75">
      <c r="A901" s="712"/>
      <c r="B901" s="712"/>
      <c r="C901" s="712"/>
      <c r="D901" s="712"/>
      <c r="E901" s="712"/>
    </row>
    <row r="902" spans="1:5" ht="12.75">
      <c r="A902" s="712"/>
      <c r="B902" s="712"/>
      <c r="C902" s="712"/>
      <c r="D902" s="712"/>
      <c r="E902" s="712"/>
    </row>
    <row r="903" spans="1:5" ht="12.75">
      <c r="A903" s="712"/>
      <c r="B903" s="712"/>
      <c r="C903" s="712"/>
      <c r="D903" s="712"/>
      <c r="E903" s="712"/>
    </row>
    <row r="904" spans="1:5" ht="12.75">
      <c r="A904" s="712"/>
      <c r="B904" s="712"/>
      <c r="C904" s="712"/>
      <c r="D904" s="712"/>
      <c r="E904" s="712"/>
    </row>
    <row r="905" spans="1:5" ht="12.75">
      <c r="A905" s="712"/>
      <c r="B905" s="712"/>
      <c r="C905" s="712"/>
      <c r="D905" s="712"/>
      <c r="E905" s="712"/>
    </row>
    <row r="906" spans="1:5" ht="12.75">
      <c r="A906" s="712"/>
      <c r="B906" s="712"/>
      <c r="C906" s="712"/>
      <c r="D906" s="712"/>
      <c r="E906" s="712"/>
    </row>
    <row r="907" spans="1:5" ht="12.75">
      <c r="A907" s="712"/>
      <c r="B907" s="712"/>
      <c r="C907" s="712"/>
      <c r="D907" s="712"/>
      <c r="E907" s="712"/>
    </row>
    <row r="908" spans="1:5" ht="12.75">
      <c r="A908" s="712"/>
      <c r="B908" s="712"/>
      <c r="C908" s="712"/>
      <c r="D908" s="712"/>
      <c r="E908" s="712"/>
    </row>
    <row r="909" spans="1:5" ht="12.75">
      <c r="A909" s="712"/>
      <c r="B909" s="712"/>
      <c r="C909" s="712"/>
      <c r="D909" s="712"/>
      <c r="E909" s="712"/>
    </row>
    <row r="910" spans="1:5" ht="12.75">
      <c r="A910" s="712"/>
      <c r="B910" s="712"/>
      <c r="C910" s="712"/>
      <c r="D910" s="712"/>
      <c r="E910" s="712"/>
    </row>
    <row r="911" spans="1:5" ht="12.75">
      <c r="A911" s="712"/>
      <c r="B911" s="712"/>
      <c r="C911" s="712"/>
      <c r="D911" s="712"/>
      <c r="E911" s="712"/>
    </row>
    <row r="912" spans="1:5" ht="12.75">
      <c r="A912" s="712"/>
      <c r="B912" s="712"/>
      <c r="C912" s="712"/>
      <c r="D912" s="712"/>
      <c r="E912" s="712"/>
    </row>
    <row r="913" spans="1:5" ht="12.75">
      <c r="A913" s="712"/>
      <c r="B913" s="712"/>
      <c r="C913" s="712"/>
      <c r="D913" s="712"/>
      <c r="E913" s="712"/>
    </row>
    <row r="914" spans="1:5" ht="12.75">
      <c r="A914" s="712"/>
      <c r="B914" s="712"/>
      <c r="C914" s="712"/>
      <c r="D914" s="712"/>
      <c r="E914" s="712"/>
    </row>
    <row r="915" spans="1:5" ht="12.75">
      <c r="A915" s="712"/>
      <c r="B915" s="712"/>
      <c r="C915" s="712"/>
      <c r="D915" s="712"/>
      <c r="E915" s="712"/>
    </row>
    <row r="916" spans="1:5" ht="12.75">
      <c r="A916" s="712"/>
      <c r="B916" s="712"/>
      <c r="C916" s="712"/>
      <c r="D916" s="712"/>
      <c r="E916" s="712"/>
    </row>
    <row r="917" spans="1:5" ht="12.75">
      <c r="A917" s="712"/>
      <c r="B917" s="712"/>
      <c r="C917" s="712"/>
      <c r="D917" s="712"/>
      <c r="E917" s="712"/>
    </row>
    <row r="918" spans="1:5" ht="12.75">
      <c r="A918" s="712"/>
      <c r="B918" s="712"/>
      <c r="C918" s="712"/>
      <c r="D918" s="712"/>
      <c r="E918" s="712"/>
    </row>
    <row r="919" spans="1:5" ht="12.75">
      <c r="A919" s="712"/>
      <c r="B919" s="712"/>
      <c r="C919" s="712"/>
      <c r="D919" s="712"/>
      <c r="E919" s="712"/>
    </row>
    <row r="920" spans="1:5" ht="12.75">
      <c r="A920" s="712"/>
      <c r="B920" s="712"/>
      <c r="C920" s="712"/>
      <c r="D920" s="712"/>
      <c r="E920" s="712"/>
    </row>
    <row r="921" spans="1:5" ht="12.75">
      <c r="A921" s="712"/>
      <c r="B921" s="712"/>
      <c r="C921" s="712"/>
      <c r="D921" s="712"/>
      <c r="E921" s="712"/>
    </row>
    <row r="922" spans="1:5" ht="12.75">
      <c r="A922" s="712"/>
      <c r="B922" s="712"/>
      <c r="C922" s="712"/>
      <c r="D922" s="712"/>
      <c r="E922" s="712"/>
    </row>
    <row r="923" spans="1:5" ht="12.75">
      <c r="A923" s="712"/>
      <c r="B923" s="712"/>
      <c r="C923" s="712"/>
      <c r="D923" s="712"/>
      <c r="E923" s="712"/>
    </row>
    <row r="924" spans="1:5" ht="12.75">
      <c r="A924" s="712"/>
      <c r="B924" s="712"/>
      <c r="C924" s="712"/>
      <c r="D924" s="712"/>
      <c r="E924" s="712"/>
    </row>
    <row r="925" spans="1:5" ht="12.75">
      <c r="A925" s="712"/>
      <c r="B925" s="712"/>
      <c r="C925" s="712"/>
      <c r="D925" s="712"/>
      <c r="E925" s="712"/>
    </row>
    <row r="926" spans="1:5" ht="12.75">
      <c r="A926" s="712"/>
      <c r="B926" s="712"/>
      <c r="C926" s="712"/>
      <c r="D926" s="712"/>
      <c r="E926" s="712"/>
    </row>
    <row r="927" spans="1:5" ht="12.75">
      <c r="A927" s="712"/>
      <c r="B927" s="712"/>
      <c r="C927" s="712"/>
      <c r="D927" s="712"/>
      <c r="E927" s="712"/>
    </row>
    <row r="928" spans="1:5" ht="12.75">
      <c r="A928" s="712"/>
      <c r="B928" s="712"/>
      <c r="C928" s="712"/>
      <c r="D928" s="712"/>
      <c r="E928" s="712"/>
    </row>
    <row r="929" spans="1:5" ht="12.75">
      <c r="A929" s="712"/>
      <c r="B929" s="712"/>
      <c r="C929" s="712"/>
      <c r="D929" s="712"/>
      <c r="E929" s="712"/>
    </row>
    <row r="930" spans="1:5" ht="12.75">
      <c r="A930" s="712"/>
      <c r="B930" s="712"/>
      <c r="C930" s="712"/>
      <c r="D930" s="712"/>
      <c r="E930" s="712"/>
    </row>
    <row r="931" spans="1:5" ht="12.75">
      <c r="A931" s="712"/>
      <c r="B931" s="712"/>
      <c r="C931" s="712"/>
      <c r="D931" s="712"/>
      <c r="E931" s="712"/>
    </row>
    <row r="932" spans="1:5" ht="12.75">
      <c r="A932" s="712"/>
      <c r="B932" s="712"/>
      <c r="C932" s="712"/>
      <c r="D932" s="712"/>
      <c r="E932" s="712"/>
    </row>
    <row r="933" spans="1:5" ht="12.75">
      <c r="A933" s="712"/>
      <c r="B933" s="712"/>
      <c r="C933" s="712"/>
      <c r="D933" s="712"/>
      <c r="E933" s="712"/>
    </row>
    <row r="934" spans="1:5" ht="12.75">
      <c r="A934" s="712"/>
      <c r="B934" s="712"/>
      <c r="C934" s="712"/>
      <c r="D934" s="712"/>
      <c r="E934" s="712"/>
    </row>
    <row r="935" spans="1:5" ht="12.75">
      <c r="A935" s="712"/>
      <c r="B935" s="712"/>
      <c r="C935" s="712"/>
      <c r="D935" s="712"/>
      <c r="E935" s="712"/>
    </row>
    <row r="936" spans="1:5" ht="12.75">
      <c r="A936" s="712"/>
      <c r="B936" s="712"/>
      <c r="C936" s="712"/>
      <c r="D936" s="712"/>
      <c r="E936" s="712"/>
    </row>
    <row r="937" spans="1:5" ht="12.75">
      <c r="A937" s="712"/>
      <c r="B937" s="712"/>
      <c r="C937" s="712"/>
      <c r="D937" s="712"/>
      <c r="E937" s="712"/>
    </row>
    <row r="938" spans="1:5" ht="12.75">
      <c r="A938" s="712"/>
      <c r="B938" s="712"/>
      <c r="C938" s="712"/>
      <c r="D938" s="712"/>
      <c r="E938" s="712"/>
    </row>
    <row r="939" spans="1:5" ht="12.75">
      <c r="A939" s="712"/>
      <c r="B939" s="712"/>
      <c r="C939" s="712"/>
      <c r="D939" s="712"/>
      <c r="E939" s="712"/>
    </row>
    <row r="940" spans="1:5" ht="12.75">
      <c r="A940" s="712"/>
      <c r="B940" s="712"/>
      <c r="C940" s="712"/>
      <c r="D940" s="712"/>
      <c r="E940" s="712"/>
    </row>
    <row r="941" spans="1:5" ht="12.75">
      <c r="A941" s="712"/>
      <c r="B941" s="712"/>
      <c r="C941" s="712"/>
      <c r="D941" s="712"/>
      <c r="E941" s="712"/>
    </row>
    <row r="942" spans="1:5" ht="12.75">
      <c r="A942" s="712"/>
      <c r="B942" s="712"/>
      <c r="C942" s="712"/>
      <c r="D942" s="712"/>
      <c r="E942" s="712"/>
    </row>
    <row r="943" spans="1:5" ht="12.75">
      <c r="A943" s="712"/>
      <c r="B943" s="712"/>
      <c r="C943" s="712"/>
      <c r="D943" s="712"/>
      <c r="E943" s="712"/>
    </row>
    <row r="944" spans="1:5" ht="12.75">
      <c r="A944" s="712"/>
      <c r="B944" s="712"/>
      <c r="C944" s="712"/>
      <c r="D944" s="712"/>
      <c r="E944" s="712"/>
    </row>
    <row r="945" spans="1:5" ht="12.75">
      <c r="A945" s="712"/>
      <c r="B945" s="712"/>
      <c r="C945" s="712"/>
      <c r="D945" s="712"/>
      <c r="E945" s="712"/>
    </row>
    <row r="946" spans="1:5" ht="12.75">
      <c r="A946" s="712"/>
      <c r="B946" s="712"/>
      <c r="C946" s="712"/>
      <c r="D946" s="712"/>
      <c r="E946" s="712"/>
    </row>
    <row r="947" spans="1:5" ht="12.75">
      <c r="A947" s="712"/>
      <c r="B947" s="712"/>
      <c r="C947" s="712"/>
      <c r="D947" s="712"/>
      <c r="E947" s="712"/>
    </row>
    <row r="948" spans="1:5" ht="12.75">
      <c r="A948" s="712"/>
      <c r="B948" s="712"/>
      <c r="C948" s="712"/>
      <c r="D948" s="712"/>
      <c r="E948" s="712"/>
    </row>
    <row r="949" spans="1:5" ht="12.75">
      <c r="A949" s="712"/>
      <c r="B949" s="712"/>
      <c r="C949" s="712"/>
      <c r="D949" s="712"/>
      <c r="E949" s="712"/>
    </row>
    <row r="950" spans="1:5" ht="12.75">
      <c r="A950" s="712"/>
      <c r="B950" s="712"/>
      <c r="C950" s="712"/>
      <c r="D950" s="712"/>
      <c r="E950" s="712"/>
    </row>
    <row r="951" spans="1:5" ht="12.75">
      <c r="A951" s="712"/>
      <c r="B951" s="712"/>
      <c r="C951" s="712"/>
      <c r="D951" s="712"/>
      <c r="E951" s="712"/>
    </row>
    <row r="952" spans="1:5" ht="12.75">
      <c r="A952" s="712"/>
      <c r="B952" s="712"/>
      <c r="C952" s="712"/>
      <c r="D952" s="712"/>
      <c r="E952" s="712"/>
    </row>
    <row r="953" spans="1:5" ht="12.75">
      <c r="A953" s="712"/>
      <c r="B953" s="712"/>
      <c r="C953" s="712"/>
      <c r="D953" s="712"/>
      <c r="E953" s="712"/>
    </row>
    <row r="954" spans="1:5" ht="12.75">
      <c r="A954" s="712"/>
      <c r="B954" s="712"/>
      <c r="C954" s="712"/>
      <c r="D954" s="712"/>
      <c r="E954" s="712"/>
    </row>
    <row r="955" spans="1:5" ht="12.75">
      <c r="A955" s="712"/>
      <c r="B955" s="712"/>
      <c r="C955" s="712"/>
      <c r="D955" s="712"/>
      <c r="E955" s="712"/>
    </row>
    <row r="956" spans="1:5" ht="12.75">
      <c r="A956" s="712"/>
      <c r="B956" s="712"/>
      <c r="C956" s="712"/>
      <c r="D956" s="712"/>
      <c r="E956" s="712"/>
    </row>
    <row r="957" spans="1:5" ht="12.75">
      <c r="A957" s="712"/>
      <c r="B957" s="712"/>
      <c r="C957" s="712"/>
      <c r="D957" s="712"/>
      <c r="E957" s="712"/>
    </row>
    <row r="958" spans="1:5" ht="12.75">
      <c r="A958" s="712"/>
      <c r="B958" s="712"/>
      <c r="C958" s="712"/>
      <c r="D958" s="712"/>
      <c r="E958" s="712"/>
    </row>
    <row r="959" spans="1:5" ht="12.75">
      <c r="A959" s="712"/>
      <c r="B959" s="712"/>
      <c r="C959" s="712"/>
      <c r="D959" s="712"/>
      <c r="E959" s="712"/>
    </row>
    <row r="960" spans="1:5" ht="12.75">
      <c r="A960" s="712"/>
      <c r="B960" s="712"/>
      <c r="C960" s="712"/>
      <c r="D960" s="712"/>
      <c r="E960" s="712"/>
    </row>
    <row r="961" spans="1:5" ht="12.75">
      <c r="A961" s="712"/>
      <c r="B961" s="712"/>
      <c r="C961" s="712"/>
      <c r="D961" s="712"/>
      <c r="E961" s="712"/>
    </row>
    <row r="962" spans="1:5" ht="12.75">
      <c r="A962" s="712"/>
      <c r="B962" s="712"/>
      <c r="C962" s="712"/>
      <c r="D962" s="712"/>
      <c r="E962" s="712"/>
    </row>
    <row r="963" spans="1:5" ht="12.75">
      <c r="A963" s="712"/>
      <c r="B963" s="712"/>
      <c r="C963" s="712"/>
      <c r="D963" s="712"/>
      <c r="E963" s="712"/>
    </row>
    <row r="964" spans="1:5" ht="12.75">
      <c r="A964" s="712"/>
      <c r="B964" s="712"/>
      <c r="C964" s="712"/>
      <c r="D964" s="712"/>
      <c r="E964" s="712"/>
    </row>
    <row r="965" spans="1:5" ht="12.75">
      <c r="A965" s="712"/>
      <c r="B965" s="712"/>
      <c r="C965" s="712"/>
      <c r="D965" s="712"/>
      <c r="E965" s="712"/>
    </row>
    <row r="966" spans="1:5" ht="12.75">
      <c r="A966" s="712"/>
      <c r="B966" s="712"/>
      <c r="C966" s="712"/>
      <c r="D966" s="712"/>
      <c r="E966" s="712"/>
    </row>
    <row r="967" spans="1:5" ht="12.75">
      <c r="A967" s="712"/>
      <c r="B967" s="712"/>
      <c r="C967" s="712"/>
      <c r="D967" s="712"/>
      <c r="E967" s="712"/>
    </row>
    <row r="968" spans="1:5" ht="12.75">
      <c r="A968" s="712"/>
      <c r="B968" s="712"/>
      <c r="C968" s="712"/>
      <c r="D968" s="712"/>
      <c r="E968" s="712"/>
    </row>
    <row r="969" spans="1:5" ht="12.75">
      <c r="A969" s="712"/>
      <c r="B969" s="712"/>
      <c r="C969" s="712"/>
      <c r="D969" s="712"/>
      <c r="E969" s="712"/>
    </row>
    <row r="970" spans="1:5" ht="12.75">
      <c r="A970" s="712"/>
      <c r="B970" s="712"/>
      <c r="C970" s="712"/>
      <c r="D970" s="712"/>
      <c r="E970" s="712"/>
    </row>
    <row r="971" spans="1:5" ht="12.75">
      <c r="A971" s="712"/>
      <c r="B971" s="712"/>
      <c r="C971" s="712"/>
      <c r="D971" s="712"/>
      <c r="E971" s="712"/>
    </row>
    <row r="972" spans="1:5" ht="12.75">
      <c r="A972" s="712"/>
      <c r="B972" s="712"/>
      <c r="C972" s="712"/>
      <c r="D972" s="712"/>
      <c r="E972" s="712"/>
    </row>
    <row r="973" spans="1:5" ht="12.75">
      <c r="A973" s="712"/>
      <c r="B973" s="712"/>
      <c r="C973" s="712"/>
      <c r="D973" s="712"/>
      <c r="E973" s="712"/>
    </row>
    <row r="974" spans="1:5" ht="12.75">
      <c r="A974" s="712"/>
      <c r="B974" s="712"/>
      <c r="C974" s="712"/>
      <c r="D974" s="712"/>
      <c r="E974" s="712"/>
    </row>
    <row r="975" spans="1:5" ht="12.75">
      <c r="A975" s="712"/>
      <c r="B975" s="712"/>
      <c r="C975" s="712"/>
      <c r="D975" s="712"/>
      <c r="E975" s="712"/>
    </row>
    <row r="976" spans="1:5" ht="12.75">
      <c r="A976" s="712"/>
      <c r="B976" s="712"/>
      <c r="C976" s="712"/>
      <c r="D976" s="712"/>
      <c r="E976" s="712"/>
    </row>
    <row r="977" spans="1:5" ht="12.75">
      <c r="A977" s="712"/>
      <c r="B977" s="712"/>
      <c r="C977" s="712"/>
      <c r="D977" s="712"/>
      <c r="E977" s="712"/>
    </row>
    <row r="978" spans="1:5" ht="12.75">
      <c r="A978" s="712"/>
      <c r="B978" s="712"/>
      <c r="C978" s="712"/>
      <c r="D978" s="712"/>
      <c r="E978" s="712"/>
    </row>
    <row r="979" spans="1:5" ht="12.75">
      <c r="A979" s="712"/>
      <c r="B979" s="712"/>
      <c r="C979" s="712"/>
      <c r="D979" s="712"/>
      <c r="E979" s="712"/>
    </row>
    <row r="980" spans="1:5" ht="12.75">
      <c r="A980" s="712"/>
      <c r="B980" s="712"/>
      <c r="C980" s="712"/>
      <c r="D980" s="712"/>
      <c r="E980" s="712"/>
    </row>
    <row r="981" spans="1:5" ht="12.75">
      <c r="A981" s="712"/>
      <c r="B981" s="712"/>
      <c r="C981" s="712"/>
      <c r="D981" s="712"/>
      <c r="E981" s="712"/>
    </row>
    <row r="982" spans="1:5" ht="12.75">
      <c r="A982" s="712"/>
      <c r="B982" s="712"/>
      <c r="C982" s="712"/>
      <c r="D982" s="712"/>
      <c r="E982" s="712"/>
    </row>
    <row r="983" spans="1:5" ht="12.75">
      <c r="A983" s="712"/>
      <c r="B983" s="712"/>
      <c r="C983" s="712"/>
      <c r="D983" s="712"/>
      <c r="E983" s="712"/>
    </row>
    <row r="984" spans="1:5" ht="12.75">
      <c r="A984" s="712"/>
      <c r="B984" s="712"/>
      <c r="C984" s="712"/>
      <c r="D984" s="712"/>
      <c r="E984" s="712"/>
    </row>
    <row r="985" spans="1:5" ht="12.75">
      <c r="A985" s="712"/>
      <c r="B985" s="712"/>
      <c r="C985" s="712"/>
      <c r="D985" s="712"/>
      <c r="E985" s="712"/>
    </row>
    <row r="986" spans="1:5" ht="12.75">
      <c r="A986" s="712"/>
      <c r="B986" s="712"/>
      <c r="C986" s="712"/>
      <c r="D986" s="712"/>
      <c r="E986" s="712"/>
    </row>
    <row r="987" spans="1:5" ht="12.75">
      <c r="A987" s="712"/>
      <c r="B987" s="712"/>
      <c r="C987" s="712"/>
      <c r="D987" s="712"/>
      <c r="E987" s="712"/>
    </row>
    <row r="988" spans="1:5" ht="12.75">
      <c r="A988" s="712"/>
      <c r="B988" s="712"/>
      <c r="C988" s="712"/>
      <c r="D988" s="712"/>
      <c r="E988" s="712"/>
    </row>
    <row r="989" spans="1:5" ht="12.75">
      <c r="A989" s="712"/>
      <c r="B989" s="712"/>
      <c r="C989" s="712"/>
      <c r="D989" s="712"/>
      <c r="E989" s="712"/>
    </row>
    <row r="990" spans="1:5" ht="12.75">
      <c r="A990" s="712"/>
      <c r="B990" s="712"/>
      <c r="C990" s="712"/>
      <c r="D990" s="712"/>
      <c r="E990" s="712"/>
    </row>
    <row r="991" spans="1:5" ht="12.75">
      <c r="A991" s="712"/>
      <c r="B991" s="712"/>
      <c r="C991" s="712"/>
      <c r="D991" s="712"/>
      <c r="E991" s="712"/>
    </row>
    <row r="992" spans="1:5" ht="12.75">
      <c r="A992" s="712"/>
      <c r="B992" s="712"/>
      <c r="C992" s="712"/>
      <c r="D992" s="712"/>
      <c r="E992" s="712"/>
    </row>
    <row r="993" spans="1:5" ht="12.75">
      <c r="A993" s="712"/>
      <c r="B993" s="712"/>
      <c r="C993" s="712"/>
      <c r="D993" s="712"/>
      <c r="E993" s="712"/>
    </row>
    <row r="994" spans="1:5" ht="12.75">
      <c r="A994" s="712"/>
      <c r="B994" s="712"/>
      <c r="C994" s="712"/>
      <c r="D994" s="712"/>
      <c r="E994" s="712"/>
    </row>
    <row r="995" spans="1:5" ht="12.75">
      <c r="A995" s="712"/>
      <c r="B995" s="712"/>
      <c r="C995" s="712"/>
      <c r="D995" s="712"/>
      <c r="E995" s="712"/>
    </row>
    <row r="996" spans="1:5" ht="12.75">
      <c r="A996" s="712"/>
      <c r="B996" s="712"/>
      <c r="C996" s="712"/>
      <c r="D996" s="712"/>
      <c r="E996" s="712"/>
    </row>
    <row r="997" spans="1:5" ht="12.75">
      <c r="A997" s="712"/>
      <c r="B997" s="712"/>
      <c r="C997" s="712"/>
      <c r="D997" s="712"/>
      <c r="E997" s="712"/>
    </row>
    <row r="998" spans="1:5" ht="12.75">
      <c r="A998" s="712"/>
      <c r="B998" s="712"/>
      <c r="C998" s="712"/>
      <c r="D998" s="712"/>
      <c r="E998" s="712"/>
    </row>
    <row r="999" spans="1:5" ht="12.75">
      <c r="A999" s="712"/>
      <c r="B999" s="712"/>
      <c r="C999" s="712"/>
      <c r="D999" s="712"/>
      <c r="E999" s="712"/>
    </row>
    <row r="1000" spans="1:5" ht="12.75">
      <c r="A1000" s="712"/>
      <c r="B1000" s="712"/>
      <c r="C1000" s="712"/>
      <c r="D1000" s="712"/>
      <c r="E1000" s="712"/>
    </row>
    <row r="1001" spans="1:5" ht="12.75">
      <c r="A1001" s="712"/>
      <c r="B1001" s="712"/>
      <c r="C1001" s="712"/>
      <c r="D1001" s="712"/>
      <c r="E1001" s="712"/>
    </row>
    <row r="1002" spans="1:5" ht="12.75">
      <c r="A1002" s="712"/>
      <c r="B1002" s="712"/>
      <c r="C1002" s="712"/>
      <c r="D1002" s="712"/>
      <c r="E1002" s="712"/>
    </row>
    <row r="1003" spans="1:5" ht="12.75">
      <c r="A1003" s="712"/>
      <c r="B1003" s="712"/>
      <c r="C1003" s="712"/>
      <c r="D1003" s="712"/>
      <c r="E1003" s="712"/>
    </row>
    <row r="1004" spans="1:5" ht="12.75">
      <c r="A1004" s="712"/>
      <c r="B1004" s="712"/>
      <c r="C1004" s="712"/>
      <c r="D1004" s="712"/>
      <c r="E1004" s="712"/>
    </row>
    <row r="1005" spans="1:5" ht="12.75">
      <c r="A1005" s="712"/>
      <c r="B1005" s="712"/>
      <c r="C1005" s="712"/>
      <c r="D1005" s="712"/>
      <c r="E1005" s="712"/>
    </row>
    <row r="1006" spans="1:5" ht="12.75">
      <c r="A1006" s="712"/>
      <c r="B1006" s="712"/>
      <c r="C1006" s="712"/>
      <c r="D1006" s="712"/>
      <c r="E1006" s="712"/>
    </row>
    <row r="1007" spans="1:5" ht="12.75">
      <c r="A1007" s="712"/>
      <c r="B1007" s="712"/>
      <c r="C1007" s="712"/>
      <c r="D1007" s="712"/>
      <c r="E1007" s="712"/>
    </row>
    <row r="1008" spans="1:5" ht="12.75">
      <c r="A1008" s="712"/>
      <c r="B1008" s="712"/>
      <c r="C1008" s="712"/>
      <c r="D1008" s="712"/>
      <c r="E1008" s="712"/>
    </row>
    <row r="1009" spans="1:5" ht="12.75">
      <c r="A1009" s="712"/>
      <c r="B1009" s="712"/>
      <c r="C1009" s="712"/>
      <c r="D1009" s="712"/>
      <c r="E1009" s="712"/>
    </row>
    <row r="1010" spans="1:5" ht="12.75">
      <c r="A1010" s="712"/>
      <c r="B1010" s="712"/>
      <c r="C1010" s="712"/>
      <c r="D1010" s="712"/>
      <c r="E1010" s="712"/>
    </row>
    <row r="1011" spans="1:5" ht="12.75">
      <c r="A1011" s="712"/>
      <c r="B1011" s="712"/>
      <c r="C1011" s="712"/>
      <c r="D1011" s="712"/>
      <c r="E1011" s="712"/>
    </row>
    <row r="1012" spans="1:5" ht="12.75">
      <c r="A1012" s="712"/>
      <c r="B1012" s="712"/>
      <c r="C1012" s="712"/>
      <c r="D1012" s="712"/>
      <c r="E1012" s="712"/>
    </row>
    <row r="1013" spans="1:5" ht="12.75">
      <c r="A1013" s="712"/>
      <c r="B1013" s="712"/>
      <c r="C1013" s="712"/>
      <c r="D1013" s="712"/>
      <c r="E1013" s="712"/>
    </row>
    <row r="1014" spans="1:5" ht="12.75">
      <c r="A1014" s="712"/>
      <c r="B1014" s="712"/>
      <c r="C1014" s="712"/>
      <c r="D1014" s="712"/>
      <c r="E1014" s="712"/>
    </row>
    <row r="1015" spans="1:5" ht="12.75">
      <c r="A1015" s="712"/>
      <c r="B1015" s="712"/>
      <c r="C1015" s="712"/>
      <c r="D1015" s="712"/>
      <c r="E1015" s="712"/>
    </row>
    <row r="1016" spans="1:5" ht="12.75">
      <c r="A1016" s="712"/>
      <c r="B1016" s="712"/>
      <c r="C1016" s="712"/>
      <c r="D1016" s="712"/>
      <c r="E1016" s="712"/>
    </row>
    <row r="1017" spans="1:5" ht="12.75">
      <c r="A1017" s="712"/>
      <c r="B1017" s="712"/>
      <c r="C1017" s="712"/>
      <c r="D1017" s="712"/>
      <c r="E1017" s="712"/>
    </row>
    <row r="1018" spans="1:5" ht="12.75">
      <c r="A1018" s="712"/>
      <c r="B1018" s="712"/>
      <c r="C1018" s="712"/>
      <c r="D1018" s="712"/>
      <c r="E1018" s="712"/>
    </row>
    <row r="1019" spans="1:5" ht="12.75">
      <c r="A1019" s="712"/>
      <c r="B1019" s="712"/>
      <c r="C1019" s="712"/>
      <c r="D1019" s="712"/>
      <c r="E1019" s="712"/>
    </row>
    <row r="1020" spans="1:5" ht="12.75">
      <c r="A1020" s="712"/>
      <c r="B1020" s="712"/>
      <c r="C1020" s="712"/>
      <c r="D1020" s="712"/>
      <c r="E1020" s="712"/>
    </row>
    <row r="1021" spans="1:5" ht="12.75">
      <c r="A1021" s="712"/>
      <c r="B1021" s="712"/>
      <c r="C1021" s="712"/>
      <c r="D1021" s="712"/>
      <c r="E1021" s="712"/>
    </row>
    <row r="1022" spans="1:5" ht="12.75">
      <c r="A1022" s="712"/>
      <c r="B1022" s="712"/>
      <c r="C1022" s="712"/>
      <c r="D1022" s="712"/>
      <c r="E1022" s="712"/>
    </row>
    <row r="1023" spans="1:5" ht="12.75">
      <c r="A1023" s="712"/>
      <c r="B1023" s="712"/>
      <c r="C1023" s="712"/>
      <c r="D1023" s="712"/>
      <c r="E1023" s="712"/>
    </row>
    <row r="1024" spans="1:5" ht="12.75">
      <c r="A1024" s="712"/>
      <c r="B1024" s="712"/>
      <c r="C1024" s="712"/>
      <c r="D1024" s="712"/>
      <c r="E1024" s="712"/>
    </row>
    <row r="1025" spans="1:5" ht="12.75">
      <c r="A1025" s="712"/>
      <c r="B1025" s="712"/>
      <c r="C1025" s="712"/>
      <c r="D1025" s="712"/>
      <c r="E1025" s="712"/>
    </row>
    <row r="1026" spans="1:5" ht="12.75">
      <c r="A1026" s="712"/>
      <c r="B1026" s="712"/>
      <c r="C1026" s="712"/>
      <c r="D1026" s="712"/>
      <c r="E1026" s="712"/>
    </row>
    <row r="1027" spans="1:5" ht="12.75">
      <c r="A1027" s="712"/>
      <c r="B1027" s="712"/>
      <c r="C1027" s="712"/>
      <c r="D1027" s="712"/>
      <c r="E1027" s="712"/>
    </row>
    <row r="1028" spans="1:5" ht="12.75">
      <c r="A1028" s="712"/>
      <c r="B1028" s="712"/>
      <c r="C1028" s="712"/>
      <c r="D1028" s="712"/>
      <c r="E1028" s="712"/>
    </row>
    <row r="1029" spans="1:5" ht="12.75">
      <c r="A1029" s="712"/>
      <c r="B1029" s="712"/>
      <c r="C1029" s="712"/>
      <c r="D1029" s="712"/>
      <c r="E1029" s="712"/>
    </row>
    <row r="1030" spans="1:5" ht="12.75">
      <c r="A1030" s="712"/>
      <c r="B1030" s="712"/>
      <c r="C1030" s="712"/>
      <c r="D1030" s="712"/>
      <c r="E1030" s="712"/>
    </row>
    <row r="1031" spans="1:5" ht="12.75">
      <c r="A1031" s="712"/>
      <c r="B1031" s="712"/>
      <c r="C1031" s="712"/>
      <c r="D1031" s="712"/>
      <c r="E1031" s="712"/>
    </row>
    <row r="1032" spans="1:5" ht="12.75">
      <c r="A1032" s="712"/>
      <c r="B1032" s="712"/>
      <c r="C1032" s="712"/>
      <c r="D1032" s="712"/>
      <c r="E1032" s="712"/>
    </row>
    <row r="1033" spans="1:5" ht="12.75">
      <c r="A1033" s="712"/>
      <c r="B1033" s="712"/>
      <c r="C1033" s="712"/>
      <c r="D1033" s="712"/>
      <c r="E1033" s="712"/>
    </row>
    <row r="1034" spans="1:5" ht="12.75">
      <c r="A1034" s="712"/>
      <c r="B1034" s="712"/>
      <c r="C1034" s="712"/>
      <c r="D1034" s="712"/>
      <c r="E1034" s="712"/>
    </row>
    <row r="1035" spans="1:5" ht="12.75">
      <c r="A1035" s="712"/>
      <c r="B1035" s="712"/>
      <c r="C1035" s="712"/>
      <c r="D1035" s="712"/>
      <c r="E1035" s="712"/>
    </row>
    <row r="1036" spans="1:5" ht="12.75">
      <c r="A1036" s="712"/>
      <c r="B1036" s="712"/>
      <c r="C1036" s="712"/>
      <c r="D1036" s="712"/>
      <c r="E1036" s="712"/>
    </row>
    <row r="1037" spans="1:5" ht="12.75">
      <c r="A1037" s="712"/>
      <c r="B1037" s="712"/>
      <c r="C1037" s="712"/>
      <c r="D1037" s="712"/>
      <c r="E1037" s="712"/>
    </row>
    <row r="1038" spans="1:5" ht="12.75">
      <c r="A1038" s="712"/>
      <c r="B1038" s="712"/>
      <c r="C1038" s="712"/>
      <c r="D1038" s="712"/>
      <c r="E1038" s="712"/>
    </row>
    <row r="1039" spans="1:5" ht="12.75">
      <c r="A1039" s="712"/>
      <c r="B1039" s="712"/>
      <c r="C1039" s="712"/>
      <c r="D1039" s="712"/>
      <c r="E1039" s="712"/>
    </row>
    <row r="1040" spans="1:5" ht="12.75">
      <c r="A1040" s="712"/>
      <c r="B1040" s="712"/>
      <c r="C1040" s="712"/>
      <c r="D1040" s="712"/>
      <c r="E1040" s="712"/>
    </row>
    <row r="1041" spans="1:5" ht="12.75">
      <c r="A1041" s="712"/>
      <c r="B1041" s="712"/>
      <c r="C1041" s="712"/>
      <c r="D1041" s="712"/>
      <c r="E1041" s="712"/>
    </row>
    <row r="1042" spans="1:5" ht="12.75">
      <c r="A1042" s="712"/>
      <c r="B1042" s="712"/>
      <c r="C1042" s="712"/>
      <c r="D1042" s="712"/>
      <c r="E1042" s="712"/>
    </row>
    <row r="1043" spans="1:5" ht="12.75">
      <c r="A1043" s="712"/>
      <c r="B1043" s="712"/>
      <c r="C1043" s="712"/>
      <c r="D1043" s="712"/>
      <c r="E1043" s="712"/>
    </row>
    <row r="1044" spans="1:5" ht="12.75">
      <c r="A1044" s="712"/>
      <c r="B1044" s="712"/>
      <c r="C1044" s="712"/>
      <c r="D1044" s="712"/>
      <c r="E1044" s="712"/>
    </row>
    <row r="1045" spans="1:5" ht="12.75">
      <c r="A1045" s="712"/>
      <c r="B1045" s="712"/>
      <c r="C1045" s="712"/>
      <c r="D1045" s="712"/>
      <c r="E1045" s="712"/>
    </row>
    <row r="1046" spans="1:5" ht="12.75">
      <c r="A1046" s="712"/>
      <c r="B1046" s="712"/>
      <c r="C1046" s="712"/>
      <c r="D1046" s="712"/>
      <c r="E1046" s="712"/>
    </row>
    <row r="1047" spans="1:5" ht="12.75">
      <c r="A1047" s="712"/>
      <c r="B1047" s="712"/>
      <c r="C1047" s="712"/>
      <c r="D1047" s="712"/>
      <c r="E1047" s="712"/>
    </row>
    <row r="1048" spans="1:5" ht="12.75">
      <c r="A1048" s="712"/>
      <c r="B1048" s="712"/>
      <c r="C1048" s="712"/>
      <c r="D1048" s="712"/>
      <c r="E1048" s="712"/>
    </row>
    <row r="1049" spans="1:5" ht="12.75">
      <c r="A1049" s="712"/>
      <c r="B1049" s="712"/>
      <c r="C1049" s="712"/>
      <c r="D1049" s="712"/>
      <c r="E1049" s="712"/>
    </row>
    <row r="1050" spans="1:5" ht="12.75">
      <c r="A1050" s="712"/>
      <c r="B1050" s="712"/>
      <c r="C1050" s="712"/>
      <c r="D1050" s="712"/>
      <c r="E1050" s="712"/>
    </row>
    <row r="1051" spans="1:5" ht="12.75">
      <c r="A1051" s="712"/>
      <c r="B1051" s="712"/>
      <c r="C1051" s="712"/>
      <c r="D1051" s="712"/>
      <c r="E1051" s="712"/>
    </row>
    <row r="1052" spans="1:5" ht="12.75">
      <c r="A1052" s="712"/>
      <c r="B1052" s="712"/>
      <c r="C1052" s="712"/>
      <c r="D1052" s="712"/>
      <c r="E1052" s="712"/>
    </row>
    <row r="1053" spans="1:5" ht="12.75">
      <c r="A1053" s="712"/>
      <c r="B1053" s="712"/>
      <c r="C1053" s="712"/>
      <c r="D1053" s="712"/>
      <c r="E1053" s="712"/>
    </row>
    <row r="1054" spans="1:5" ht="12.75">
      <c r="A1054" s="712"/>
      <c r="B1054" s="712"/>
      <c r="C1054" s="712"/>
      <c r="D1054" s="712"/>
      <c r="E1054" s="712"/>
    </row>
    <row r="1055" spans="1:5" ht="12.75">
      <c r="A1055" s="712"/>
      <c r="B1055" s="712"/>
      <c r="C1055" s="712"/>
      <c r="D1055" s="712"/>
      <c r="E1055" s="712"/>
    </row>
    <row r="1056" spans="1:5" ht="12.75">
      <c r="A1056" s="712"/>
      <c r="B1056" s="712"/>
      <c r="C1056" s="712"/>
      <c r="D1056" s="712"/>
      <c r="E1056" s="712"/>
    </row>
    <row r="1057" spans="1:5" ht="12.75">
      <c r="A1057" s="712"/>
      <c r="B1057" s="712"/>
      <c r="C1057" s="712"/>
      <c r="D1057" s="712"/>
      <c r="E1057" s="712"/>
    </row>
    <row r="1058" spans="1:5" ht="12.75">
      <c r="A1058" s="712"/>
      <c r="B1058" s="712"/>
      <c r="C1058" s="712"/>
      <c r="D1058" s="712"/>
      <c r="E1058" s="712"/>
    </row>
    <row r="1059" spans="1:5" ht="12.75">
      <c r="A1059" s="712"/>
      <c r="B1059" s="712"/>
      <c r="C1059" s="712"/>
      <c r="D1059" s="712"/>
      <c r="E1059" s="712"/>
    </row>
    <row r="1060" spans="1:5" ht="12.75">
      <c r="A1060" s="712"/>
      <c r="B1060" s="712"/>
      <c r="C1060" s="712"/>
      <c r="D1060" s="712"/>
      <c r="E1060" s="712"/>
    </row>
    <row r="1061" spans="1:5" ht="12.75">
      <c r="A1061" s="712"/>
      <c r="B1061" s="712"/>
      <c r="C1061" s="712"/>
      <c r="D1061" s="712"/>
      <c r="E1061" s="712"/>
    </row>
    <row r="1062" spans="1:5" ht="12.75">
      <c r="A1062" s="712"/>
      <c r="B1062" s="712"/>
      <c r="C1062" s="712"/>
      <c r="D1062" s="712"/>
      <c r="E1062" s="712"/>
    </row>
    <row r="1063" spans="1:5" ht="12.75">
      <c r="A1063" s="712"/>
      <c r="B1063" s="712"/>
      <c r="C1063" s="712"/>
      <c r="D1063" s="712"/>
      <c r="E1063" s="712"/>
    </row>
    <row r="1064" spans="1:5" ht="12.75">
      <c r="A1064" s="712"/>
      <c r="B1064" s="712"/>
      <c r="C1064" s="712"/>
      <c r="D1064" s="712"/>
      <c r="E1064" s="712"/>
    </row>
    <row r="1065" spans="1:5" ht="12.75">
      <c r="A1065" s="712"/>
      <c r="B1065" s="712"/>
      <c r="C1065" s="712"/>
      <c r="D1065" s="712"/>
      <c r="E1065" s="712"/>
    </row>
    <row r="1066" spans="1:5" ht="12.75">
      <c r="A1066" s="712"/>
      <c r="B1066" s="712"/>
      <c r="C1066" s="712"/>
      <c r="D1066" s="712"/>
      <c r="E1066" s="712"/>
    </row>
    <row r="1067" spans="1:5" ht="12.75">
      <c r="A1067" s="712"/>
      <c r="B1067" s="712"/>
      <c r="C1067" s="712"/>
      <c r="D1067" s="712"/>
      <c r="E1067" s="712"/>
    </row>
    <row r="1068" spans="1:5" ht="12.75">
      <c r="A1068" s="712"/>
      <c r="B1068" s="712"/>
      <c r="C1068" s="712"/>
      <c r="D1068" s="712"/>
      <c r="E1068" s="712"/>
    </row>
    <row r="1069" spans="1:5" ht="12.75">
      <c r="A1069" s="712"/>
      <c r="B1069" s="712"/>
      <c r="C1069" s="712"/>
      <c r="D1069" s="712"/>
      <c r="E1069" s="712"/>
    </row>
    <row r="1070" spans="1:5" ht="12.75">
      <c r="A1070" s="712"/>
      <c r="B1070" s="712"/>
      <c r="C1070" s="712"/>
      <c r="D1070" s="712"/>
      <c r="E1070" s="712"/>
    </row>
    <row r="1071" spans="1:5" ht="12.75">
      <c r="A1071" s="712"/>
      <c r="B1071" s="712"/>
      <c r="C1071" s="712"/>
      <c r="D1071" s="712"/>
      <c r="E1071" s="712"/>
    </row>
    <row r="1072" spans="1:5" ht="12.75">
      <c r="A1072" s="712"/>
      <c r="B1072" s="712"/>
      <c r="C1072" s="712"/>
      <c r="D1072" s="712"/>
      <c r="E1072" s="712"/>
    </row>
    <row r="1073" spans="1:5" ht="12.75">
      <c r="A1073" s="712"/>
      <c r="B1073" s="712"/>
      <c r="C1073" s="712"/>
      <c r="D1073" s="712"/>
      <c r="E1073" s="712"/>
    </row>
    <row r="1074" spans="1:5" ht="12.75">
      <c r="A1074" s="712"/>
      <c r="B1074" s="712"/>
      <c r="C1074" s="712"/>
      <c r="D1074" s="712"/>
      <c r="E1074" s="712"/>
    </row>
    <row r="1075" spans="1:5" ht="12.75">
      <c r="A1075" s="712"/>
      <c r="B1075" s="712"/>
      <c r="C1075" s="712"/>
      <c r="D1075" s="712"/>
      <c r="E1075" s="712"/>
    </row>
    <row r="1076" spans="1:5" ht="12.75">
      <c r="A1076" s="712"/>
      <c r="B1076" s="712"/>
      <c r="C1076" s="712"/>
      <c r="D1076" s="712"/>
      <c r="E1076" s="712"/>
    </row>
    <row r="1077" spans="1:5" ht="12.75">
      <c r="A1077" s="712"/>
      <c r="B1077" s="712"/>
      <c r="C1077" s="712"/>
      <c r="D1077" s="712"/>
      <c r="E1077" s="712"/>
    </row>
    <row r="1078" spans="1:5" ht="12.75">
      <c r="A1078" s="712"/>
      <c r="B1078" s="712"/>
      <c r="C1078" s="712"/>
      <c r="D1078" s="712"/>
      <c r="E1078" s="712"/>
    </row>
    <row r="1079" spans="1:5" ht="12.75">
      <c r="A1079" s="712"/>
      <c r="B1079" s="712"/>
      <c r="C1079" s="712"/>
      <c r="D1079" s="712"/>
      <c r="E1079" s="712"/>
    </row>
    <row r="1080" spans="1:5" ht="12.75">
      <c r="A1080" s="712"/>
      <c r="B1080" s="712"/>
      <c r="C1080" s="712"/>
      <c r="D1080" s="712"/>
      <c r="E1080" s="712"/>
    </row>
    <row r="1081" spans="1:5" ht="12.75">
      <c r="A1081" s="712"/>
      <c r="B1081" s="712"/>
      <c r="C1081" s="712"/>
      <c r="D1081" s="712"/>
      <c r="E1081" s="712"/>
    </row>
    <row r="1082" spans="1:5" ht="12.75">
      <c r="A1082" s="712"/>
      <c r="B1082" s="712"/>
      <c r="C1082" s="712"/>
      <c r="D1082" s="712"/>
      <c r="E1082" s="712"/>
    </row>
    <row r="1083" spans="1:5" ht="12.75">
      <c r="A1083" s="712"/>
      <c r="B1083" s="712"/>
      <c r="C1083" s="712"/>
      <c r="D1083" s="712"/>
      <c r="E1083" s="712"/>
    </row>
    <row r="1084" spans="1:5" ht="12.75">
      <c r="A1084" s="712"/>
      <c r="B1084" s="712"/>
      <c r="C1084" s="712"/>
      <c r="D1084" s="712"/>
      <c r="E1084" s="712"/>
    </row>
    <row r="1085" spans="1:5" ht="12.75">
      <c r="A1085" s="712"/>
      <c r="B1085" s="712"/>
      <c r="C1085" s="712"/>
      <c r="D1085" s="712"/>
      <c r="E1085" s="712"/>
    </row>
    <row r="1086" spans="1:5" ht="12.75">
      <c r="A1086" s="712"/>
      <c r="B1086" s="712"/>
      <c r="C1086" s="712"/>
      <c r="D1086" s="712"/>
      <c r="E1086" s="712"/>
    </row>
    <row r="1087" spans="1:5" ht="12.75">
      <c r="A1087" s="712"/>
      <c r="B1087" s="712"/>
      <c r="C1087" s="712"/>
      <c r="D1087" s="712"/>
      <c r="E1087" s="712"/>
    </row>
    <row r="1088" spans="1:5" ht="12.75">
      <c r="A1088" s="712"/>
      <c r="B1088" s="712"/>
      <c r="C1088" s="712"/>
      <c r="D1088" s="712"/>
      <c r="E1088" s="712"/>
    </row>
    <row r="1089" spans="1:5" ht="12.75">
      <c r="A1089" s="712"/>
      <c r="B1089" s="712"/>
      <c r="C1089" s="712"/>
      <c r="D1089" s="712"/>
      <c r="E1089" s="712"/>
    </row>
    <row r="1090" spans="1:5" ht="12.75">
      <c r="A1090" s="712"/>
      <c r="B1090" s="712"/>
      <c r="C1090" s="712"/>
      <c r="D1090" s="712"/>
      <c r="E1090" s="712"/>
    </row>
    <row r="1091" spans="1:5" ht="12.75">
      <c r="A1091" s="712"/>
      <c r="B1091" s="712"/>
      <c r="C1091" s="712"/>
      <c r="D1091" s="712"/>
      <c r="E1091" s="712"/>
    </row>
    <row r="1092" spans="1:5" ht="12.75">
      <c r="A1092" s="712"/>
      <c r="B1092" s="712"/>
      <c r="C1092" s="712"/>
      <c r="D1092" s="712"/>
      <c r="E1092" s="712"/>
    </row>
    <row r="1093" spans="1:5" ht="12.75">
      <c r="A1093" s="712"/>
      <c r="B1093" s="712"/>
      <c r="C1093" s="712"/>
      <c r="D1093" s="712"/>
      <c r="E1093" s="712"/>
    </row>
    <row r="1094" spans="1:5" ht="12.75">
      <c r="A1094" s="712"/>
      <c r="B1094" s="712"/>
      <c r="C1094" s="712"/>
      <c r="D1094" s="712"/>
      <c r="E1094" s="712"/>
    </row>
    <row r="1095" spans="1:5" ht="12.75">
      <c r="A1095" s="712"/>
      <c r="B1095" s="712"/>
      <c r="C1095" s="712"/>
      <c r="D1095" s="712"/>
      <c r="E1095" s="712"/>
    </row>
    <row r="1096" spans="1:5" ht="12.75">
      <c r="A1096" s="712"/>
      <c r="B1096" s="712"/>
      <c r="C1096" s="712"/>
      <c r="D1096" s="712"/>
      <c r="E1096" s="712"/>
    </row>
    <row r="1097" spans="1:5" ht="12.75">
      <c r="A1097" s="712"/>
      <c r="B1097" s="712"/>
      <c r="C1097" s="712"/>
      <c r="D1097" s="712"/>
      <c r="E1097" s="712"/>
    </row>
    <row r="1098" spans="1:5" ht="12.75">
      <c r="A1098" s="712"/>
      <c r="B1098" s="712"/>
      <c r="C1098" s="712"/>
      <c r="D1098" s="712"/>
      <c r="E1098" s="712"/>
    </row>
    <row r="1099" spans="1:5" ht="12.75">
      <c r="A1099" s="712"/>
      <c r="B1099" s="712"/>
      <c r="C1099" s="712"/>
      <c r="D1099" s="712"/>
      <c r="E1099" s="712"/>
    </row>
    <row r="1100" spans="1:5" ht="12.75">
      <c r="A1100" s="712"/>
      <c r="B1100" s="712"/>
      <c r="C1100" s="712"/>
      <c r="D1100" s="712"/>
      <c r="E1100" s="712"/>
    </row>
    <row r="1101" spans="1:5" ht="12.75">
      <c r="A1101" s="712"/>
      <c r="B1101" s="712"/>
      <c r="C1101" s="712"/>
      <c r="D1101" s="712"/>
      <c r="E1101" s="712"/>
    </row>
    <row r="1102" spans="1:5" ht="12.75">
      <c r="A1102" s="712"/>
      <c r="B1102" s="712"/>
      <c r="C1102" s="712"/>
      <c r="D1102" s="712"/>
      <c r="E1102" s="712"/>
    </row>
    <row r="1103" spans="1:5" ht="12.75">
      <c r="A1103" s="712"/>
      <c r="B1103" s="712"/>
      <c r="C1103" s="712"/>
      <c r="D1103" s="712"/>
      <c r="E1103" s="712"/>
    </row>
    <row r="1104" spans="1:5" ht="12.75">
      <c r="A1104" s="712"/>
      <c r="B1104" s="712"/>
      <c r="C1104" s="712"/>
      <c r="D1104" s="712"/>
      <c r="E1104" s="712"/>
    </row>
    <row r="1105" spans="1:5" ht="12.75">
      <c r="A1105" s="712"/>
      <c r="B1105" s="712"/>
      <c r="C1105" s="712"/>
      <c r="D1105" s="712"/>
      <c r="E1105" s="712"/>
    </row>
    <row r="1106" spans="1:5" ht="12.75">
      <c r="A1106" s="712"/>
      <c r="B1106" s="712"/>
      <c r="C1106" s="712"/>
      <c r="D1106" s="712"/>
      <c r="E1106" s="712"/>
    </row>
    <row r="1107" spans="1:5" ht="12.75">
      <c r="A1107" s="712"/>
      <c r="B1107" s="712"/>
      <c r="C1107" s="712"/>
      <c r="D1107" s="712"/>
      <c r="E1107" s="712"/>
    </row>
    <row r="1108" spans="1:5" ht="12.75">
      <c r="A1108" s="712"/>
      <c r="B1108" s="712"/>
      <c r="C1108" s="712"/>
      <c r="D1108" s="712"/>
      <c r="E1108" s="712"/>
    </row>
    <row r="1109" spans="1:5" ht="12.75">
      <c r="A1109" s="712"/>
      <c r="B1109" s="712"/>
      <c r="C1109" s="712"/>
      <c r="D1109" s="712"/>
      <c r="E1109" s="712"/>
    </row>
    <row r="1110" spans="1:5" ht="12.75">
      <c r="A1110" s="712"/>
      <c r="B1110" s="712"/>
      <c r="C1110" s="712"/>
      <c r="D1110" s="712"/>
      <c r="E1110" s="712"/>
    </row>
    <row r="1111" spans="1:5" ht="12.75">
      <c r="A1111" s="712"/>
      <c r="B1111" s="712"/>
      <c r="C1111" s="712"/>
      <c r="D1111" s="712"/>
      <c r="E1111" s="712"/>
    </row>
    <row r="1112" spans="1:5" ht="12.75">
      <c r="A1112" s="712"/>
      <c r="B1112" s="712"/>
      <c r="C1112" s="712"/>
      <c r="D1112" s="712"/>
      <c r="E1112" s="712"/>
    </row>
    <row r="1113" spans="1:5" ht="12.75">
      <c r="A1113" s="712"/>
      <c r="B1113" s="712"/>
      <c r="C1113" s="712"/>
      <c r="D1113" s="712"/>
      <c r="E1113" s="712"/>
    </row>
    <row r="1114" spans="1:5" ht="12.75">
      <c r="A1114" s="712"/>
      <c r="B1114" s="712"/>
      <c r="C1114" s="712"/>
      <c r="D1114" s="712"/>
      <c r="E1114" s="712"/>
    </row>
    <row r="1115" spans="1:5" ht="12.75">
      <c r="A1115" s="712"/>
      <c r="B1115" s="712"/>
      <c r="C1115" s="712"/>
      <c r="D1115" s="712"/>
      <c r="E1115" s="712"/>
    </row>
    <row r="1116" spans="1:5" ht="12.75">
      <c r="A1116" s="712"/>
      <c r="B1116" s="712"/>
      <c r="C1116" s="712"/>
      <c r="D1116" s="712"/>
      <c r="E1116" s="712"/>
    </row>
    <row r="1117" spans="1:5" ht="12.75">
      <c r="A1117" s="712"/>
      <c r="B1117" s="712"/>
      <c r="C1117" s="712"/>
      <c r="D1117" s="712"/>
      <c r="E1117" s="712"/>
    </row>
    <row r="1118" spans="1:5" ht="12.75">
      <c r="A1118" s="712"/>
      <c r="B1118" s="712"/>
      <c r="C1118" s="712"/>
      <c r="D1118" s="712"/>
      <c r="E1118" s="712"/>
    </row>
    <row r="1119" spans="1:5" ht="12.75">
      <c r="A1119" s="712"/>
      <c r="B1119" s="712"/>
      <c r="C1119" s="712"/>
      <c r="D1119" s="712"/>
      <c r="E1119" s="712"/>
    </row>
    <row r="1120" spans="1:5" ht="12.75">
      <c r="A1120" s="712"/>
      <c r="B1120" s="712"/>
      <c r="C1120" s="712"/>
      <c r="D1120" s="712"/>
      <c r="E1120" s="712"/>
    </row>
    <row r="1121" spans="1:5" ht="12.75">
      <c r="A1121" s="712"/>
      <c r="B1121" s="712"/>
      <c r="C1121" s="712"/>
      <c r="D1121" s="712"/>
      <c r="E1121" s="712"/>
    </row>
    <row r="1122" spans="1:5" ht="12.75">
      <c r="A1122" s="712"/>
      <c r="B1122" s="712"/>
      <c r="C1122" s="712"/>
      <c r="D1122" s="712"/>
      <c r="E1122" s="712"/>
    </row>
    <row r="1123" spans="1:5" ht="12.75">
      <c r="A1123" s="712"/>
      <c r="B1123" s="712"/>
      <c r="C1123" s="712"/>
      <c r="D1123" s="712"/>
      <c r="E1123" s="712"/>
    </row>
    <row r="1124" spans="1:5" ht="12.75">
      <c r="A1124" s="712"/>
      <c r="B1124" s="712"/>
      <c r="C1124" s="712"/>
      <c r="D1124" s="712"/>
      <c r="E1124" s="712"/>
    </row>
    <row r="1125" spans="1:5" ht="12.75">
      <c r="A1125" s="712"/>
      <c r="B1125" s="712"/>
      <c r="C1125" s="712"/>
      <c r="D1125" s="712"/>
      <c r="E1125" s="712"/>
    </row>
    <row r="1126" spans="1:5" ht="12.75">
      <c r="A1126" s="712"/>
      <c r="B1126" s="712"/>
      <c r="C1126" s="712"/>
      <c r="D1126" s="712"/>
      <c r="E1126" s="712"/>
    </row>
    <row r="1127" spans="1:5" ht="12.75">
      <c r="A1127" s="712"/>
      <c r="B1127" s="712"/>
      <c r="C1127" s="712"/>
      <c r="D1127" s="712"/>
      <c r="E1127" s="712"/>
    </row>
    <row r="1128" spans="1:5" ht="12.75">
      <c r="A1128" s="712"/>
      <c r="B1128" s="712"/>
      <c r="C1128" s="712"/>
      <c r="D1128" s="712"/>
      <c r="E1128" s="712"/>
    </row>
    <row r="1129" spans="1:5" ht="12.75">
      <c r="A1129" s="712"/>
      <c r="B1129" s="712"/>
      <c r="C1129" s="712"/>
      <c r="D1129" s="712"/>
      <c r="E1129" s="712"/>
    </row>
    <row r="1130" spans="1:5" ht="12.75">
      <c r="A1130" s="712"/>
      <c r="B1130" s="712"/>
      <c r="C1130" s="712"/>
      <c r="D1130" s="712"/>
      <c r="E1130" s="712"/>
    </row>
    <row r="1131" spans="1:5" ht="12.75">
      <c r="A1131" s="712"/>
      <c r="B1131" s="712"/>
      <c r="C1131" s="712"/>
      <c r="D1131" s="712"/>
      <c r="E1131" s="712"/>
    </row>
    <row r="1132" spans="1:5" ht="12.75">
      <c r="A1132" s="712"/>
      <c r="B1132" s="712"/>
      <c r="C1132" s="712"/>
      <c r="D1132" s="712"/>
      <c r="E1132" s="712"/>
    </row>
    <row r="1133" spans="1:5" ht="12.75">
      <c r="A1133" s="712"/>
      <c r="B1133" s="712"/>
      <c r="C1133" s="712"/>
      <c r="D1133" s="712"/>
      <c r="E1133" s="712"/>
    </row>
    <row r="1134" spans="1:5" ht="12.75">
      <c r="A1134" s="712"/>
      <c r="B1134" s="712"/>
      <c r="C1134" s="712"/>
      <c r="D1134" s="712"/>
      <c r="E1134" s="712"/>
    </row>
    <row r="1135" spans="1:5" ht="12.75">
      <c r="A1135" s="712"/>
      <c r="B1135" s="712"/>
      <c r="C1135" s="712"/>
      <c r="D1135" s="712"/>
      <c r="E1135" s="712"/>
    </row>
    <row r="1136" spans="1:5" ht="12.75">
      <c r="A1136" s="712"/>
      <c r="B1136" s="712"/>
      <c r="C1136" s="712"/>
      <c r="D1136" s="712"/>
      <c r="E1136" s="712"/>
    </row>
    <row r="1137" spans="1:5" ht="12.75">
      <c r="A1137" s="712"/>
      <c r="B1137" s="712"/>
      <c r="C1137" s="712"/>
      <c r="D1137" s="712"/>
      <c r="E1137" s="712"/>
    </row>
    <row r="1138" spans="1:5" ht="12.75">
      <c r="A1138" s="712"/>
      <c r="B1138" s="712"/>
      <c r="C1138" s="712"/>
      <c r="D1138" s="712"/>
      <c r="E1138" s="712"/>
    </row>
    <row r="1139" spans="1:5" ht="12.75">
      <c r="A1139" s="712"/>
      <c r="B1139" s="712"/>
      <c r="C1139" s="712"/>
      <c r="D1139" s="712"/>
      <c r="E1139" s="712"/>
    </row>
    <row r="1140" spans="1:5" ht="12.75">
      <c r="A1140" s="712"/>
      <c r="B1140" s="712"/>
      <c r="C1140" s="712"/>
      <c r="D1140" s="712"/>
      <c r="E1140" s="712"/>
    </row>
    <row r="1141" spans="1:5" ht="12.75">
      <c r="A1141" s="712"/>
      <c r="B1141" s="712"/>
      <c r="C1141" s="712"/>
      <c r="D1141" s="712"/>
      <c r="E1141" s="712"/>
    </row>
    <row r="1142" spans="1:5" ht="12.75">
      <c r="A1142" s="712"/>
      <c r="B1142" s="712"/>
      <c r="C1142" s="712"/>
      <c r="D1142" s="712"/>
      <c r="E1142" s="712"/>
    </row>
    <row r="1143" spans="1:5" ht="12.75">
      <c r="A1143" s="712"/>
      <c r="B1143" s="712"/>
      <c r="C1143" s="712"/>
      <c r="D1143" s="712"/>
      <c r="E1143" s="712"/>
    </row>
    <row r="1144" spans="1:5" ht="12.75">
      <c r="A1144" s="712"/>
      <c r="B1144" s="712"/>
      <c r="C1144" s="712"/>
      <c r="D1144" s="712"/>
      <c r="E1144" s="712"/>
    </row>
    <row r="1145" spans="1:5" ht="12.75">
      <c r="A1145" s="712"/>
      <c r="B1145" s="712"/>
      <c r="C1145" s="712"/>
      <c r="D1145" s="712"/>
      <c r="E1145" s="712"/>
    </row>
    <row r="1146" spans="1:5" ht="12.75">
      <c r="A1146" s="712"/>
      <c r="B1146" s="712"/>
      <c r="C1146" s="712"/>
      <c r="D1146" s="712"/>
      <c r="E1146" s="712"/>
    </row>
    <row r="1147" spans="1:5" ht="12.75">
      <c r="A1147" s="712"/>
      <c r="B1147" s="712"/>
      <c r="C1147" s="712"/>
      <c r="D1147" s="712"/>
      <c r="E1147" s="712"/>
    </row>
    <row r="1148" spans="1:5" ht="12.75">
      <c r="A1148" s="712"/>
      <c r="B1148" s="712"/>
      <c r="C1148" s="712"/>
      <c r="D1148" s="712"/>
      <c r="E1148" s="712"/>
    </row>
    <row r="1149" spans="1:5" ht="12.75">
      <c r="A1149" s="712"/>
      <c r="B1149" s="712"/>
      <c r="C1149" s="712"/>
      <c r="D1149" s="712"/>
      <c r="E1149" s="712"/>
    </row>
    <row r="1150" spans="1:5" ht="12.75">
      <c r="A1150" s="712"/>
      <c r="B1150" s="712"/>
      <c r="C1150" s="712"/>
      <c r="D1150" s="712"/>
      <c r="E1150" s="712"/>
    </row>
    <row r="1151" spans="1:5" ht="12.75">
      <c r="A1151" s="712"/>
      <c r="B1151" s="712"/>
      <c r="C1151" s="712"/>
      <c r="D1151" s="712"/>
      <c r="E1151" s="712"/>
    </row>
    <row r="1152" spans="1:5" ht="12.75">
      <c r="A1152" s="712"/>
      <c r="B1152" s="712"/>
      <c r="C1152" s="712"/>
      <c r="D1152" s="712"/>
      <c r="E1152" s="712"/>
    </row>
    <row r="1153" spans="1:5" ht="12.75">
      <c r="A1153" s="712"/>
      <c r="B1153" s="712"/>
      <c r="C1153" s="712"/>
      <c r="D1153" s="712"/>
      <c r="E1153" s="712"/>
    </row>
    <row r="1154" spans="1:5" ht="12.75">
      <c r="A1154" s="712"/>
      <c r="B1154" s="712"/>
      <c r="C1154" s="712"/>
      <c r="D1154" s="712"/>
      <c r="E1154" s="712"/>
    </row>
    <row r="1155" spans="1:5" ht="12.75">
      <c r="A1155" s="712"/>
      <c r="B1155" s="712"/>
      <c r="C1155" s="712"/>
      <c r="D1155" s="712"/>
      <c r="E1155" s="712"/>
    </row>
    <row r="1156" spans="1:5" ht="12.75">
      <c r="A1156" s="712"/>
      <c r="B1156" s="712"/>
      <c r="C1156" s="712"/>
      <c r="D1156" s="712"/>
      <c r="E1156" s="712"/>
    </row>
    <row r="1157" spans="1:5" ht="12.75">
      <c r="A1157" s="712"/>
      <c r="B1157" s="712"/>
      <c r="C1157" s="712"/>
      <c r="D1157" s="712"/>
      <c r="E1157" s="712"/>
    </row>
    <row r="1158" spans="1:5" ht="12.75">
      <c r="A1158" s="712"/>
      <c r="B1158" s="712"/>
      <c r="C1158" s="712"/>
      <c r="D1158" s="712"/>
      <c r="E1158" s="712"/>
    </row>
    <row r="1159" spans="1:5" ht="12.75">
      <c r="A1159" s="712"/>
      <c r="B1159" s="712"/>
      <c r="C1159" s="712"/>
      <c r="D1159" s="712"/>
      <c r="E1159" s="712"/>
    </row>
    <row r="1160" spans="1:5" ht="12.75">
      <c r="A1160" s="712"/>
      <c r="B1160" s="712"/>
      <c r="C1160" s="712"/>
      <c r="D1160" s="712"/>
      <c r="E1160" s="712"/>
    </row>
    <row r="1161" spans="1:5" ht="12.75">
      <c r="A1161" s="712"/>
      <c r="B1161" s="712"/>
      <c r="C1161" s="712"/>
      <c r="D1161" s="712"/>
      <c r="E1161" s="712"/>
    </row>
    <row r="1162" spans="1:5" ht="12.75">
      <c r="A1162" s="712"/>
      <c r="B1162" s="712"/>
      <c r="C1162" s="712"/>
      <c r="D1162" s="712"/>
      <c r="E1162" s="712"/>
    </row>
    <row r="1163" spans="1:5" ht="12.75">
      <c r="A1163" s="712"/>
      <c r="B1163" s="712"/>
      <c r="C1163" s="712"/>
      <c r="D1163" s="712"/>
      <c r="E1163" s="712"/>
    </row>
    <row r="1164" spans="1:5" ht="12.75">
      <c r="A1164" s="712"/>
      <c r="B1164" s="712"/>
      <c r="C1164" s="712"/>
      <c r="D1164" s="712"/>
      <c r="E1164" s="712"/>
    </row>
    <row r="1165" spans="1:5" ht="12.75">
      <c r="A1165" s="712"/>
      <c r="B1165" s="712"/>
      <c r="C1165" s="712"/>
      <c r="D1165" s="712"/>
      <c r="E1165" s="712"/>
    </row>
    <row r="1166" spans="1:5" ht="12.75">
      <c r="A1166" s="712"/>
      <c r="B1166" s="712"/>
      <c r="C1166" s="712"/>
      <c r="D1166" s="712"/>
      <c r="E1166" s="712"/>
    </row>
    <row r="1167" spans="1:5" ht="12.75">
      <c r="A1167" s="712"/>
      <c r="B1167" s="712"/>
      <c r="C1167" s="712"/>
      <c r="D1167" s="712"/>
      <c r="E1167" s="712"/>
    </row>
    <row r="1168" spans="1:5" ht="12.75">
      <c r="A1168" s="712"/>
      <c r="B1168" s="712"/>
      <c r="C1168" s="712"/>
      <c r="D1168" s="712"/>
      <c r="E1168" s="712"/>
    </row>
    <row r="1169" spans="1:5" ht="12.75">
      <c r="A1169" s="712"/>
      <c r="B1169" s="712"/>
      <c r="C1169" s="712"/>
      <c r="D1169" s="712"/>
      <c r="E1169" s="712"/>
    </row>
    <row r="1170" spans="1:5" ht="12.75">
      <c r="A1170" s="712"/>
      <c r="B1170" s="712"/>
      <c r="C1170" s="712"/>
      <c r="D1170" s="712"/>
      <c r="E1170" s="712"/>
    </row>
    <row r="1171" spans="1:5" ht="12.75">
      <c r="A1171" s="712"/>
      <c r="B1171" s="712"/>
      <c r="C1171" s="712"/>
      <c r="D1171" s="712"/>
      <c r="E1171" s="712"/>
    </row>
    <row r="1172" spans="1:5" ht="12.75">
      <c r="A1172" s="712"/>
      <c r="B1172" s="712"/>
      <c r="C1172" s="712"/>
      <c r="D1172" s="712"/>
      <c r="E1172" s="712"/>
    </row>
    <row r="1173" spans="1:5" ht="12.75">
      <c r="A1173" s="712"/>
      <c r="B1173" s="712"/>
      <c r="C1173" s="712"/>
      <c r="D1173" s="712"/>
      <c r="E1173" s="712"/>
    </row>
    <row r="1174" spans="1:5" ht="12.75">
      <c r="A1174" s="712"/>
      <c r="B1174" s="712"/>
      <c r="C1174" s="712"/>
      <c r="D1174" s="712"/>
      <c r="E1174" s="712"/>
    </row>
    <row r="1175" spans="1:5" ht="12.75">
      <c r="A1175" s="712"/>
      <c r="B1175" s="712"/>
      <c r="C1175" s="712"/>
      <c r="D1175" s="712"/>
      <c r="E1175" s="712"/>
    </row>
    <row r="1176" spans="1:5" ht="12.75">
      <c r="A1176" s="712"/>
      <c r="B1176" s="712"/>
      <c r="C1176" s="712"/>
      <c r="D1176" s="712"/>
      <c r="E1176" s="712"/>
    </row>
    <row r="1177" spans="1:5" ht="12.75">
      <c r="A1177" s="712"/>
      <c r="B1177" s="712"/>
      <c r="C1177" s="712"/>
      <c r="D1177" s="712"/>
      <c r="E1177" s="712"/>
    </row>
    <row r="1178" spans="1:5" ht="12.75">
      <c r="A1178" s="712"/>
      <c r="B1178" s="712"/>
      <c r="C1178" s="712"/>
      <c r="D1178" s="712"/>
      <c r="E1178" s="712"/>
    </row>
    <row r="1179" spans="1:5" ht="12.75">
      <c r="A1179" s="712"/>
      <c r="B1179" s="712"/>
      <c r="C1179" s="712"/>
      <c r="D1179" s="712"/>
      <c r="E1179" s="712"/>
    </row>
    <row r="1180" spans="1:5" ht="12.75">
      <c r="A1180" s="712"/>
      <c r="B1180" s="712"/>
      <c r="C1180" s="712"/>
      <c r="D1180" s="712"/>
      <c r="E1180" s="712"/>
    </row>
    <row r="1181" spans="1:5" ht="12.75">
      <c r="A1181" s="712"/>
      <c r="B1181" s="712"/>
      <c r="C1181" s="712"/>
      <c r="D1181" s="712"/>
      <c r="E1181" s="712"/>
    </row>
    <row r="1182" spans="1:5" ht="12.75">
      <c r="A1182" s="712"/>
      <c r="B1182" s="712"/>
      <c r="C1182" s="712"/>
      <c r="D1182" s="712"/>
      <c r="E1182" s="712"/>
    </row>
    <row r="1183" spans="1:5" ht="12.75">
      <c r="A1183" s="712"/>
      <c r="B1183" s="712"/>
      <c r="C1183" s="712"/>
      <c r="D1183" s="712"/>
      <c r="E1183" s="712"/>
    </row>
    <row r="1184" spans="1:5" ht="12.75">
      <c r="A1184" s="712"/>
      <c r="B1184" s="712"/>
      <c r="C1184" s="712"/>
      <c r="D1184" s="712"/>
      <c r="E1184" s="712"/>
    </row>
    <row r="1185" spans="1:5" ht="12.75">
      <c r="A1185" s="712"/>
      <c r="B1185" s="712"/>
      <c r="C1185" s="712"/>
      <c r="D1185" s="712"/>
      <c r="E1185" s="712"/>
    </row>
    <row r="1186" spans="1:5" ht="12.75">
      <c r="A1186" s="712"/>
      <c r="B1186" s="712"/>
      <c r="C1186" s="712"/>
      <c r="D1186" s="712"/>
      <c r="E1186" s="712"/>
    </row>
    <row r="1187" spans="1:5" ht="12.75">
      <c r="A1187" s="712"/>
      <c r="B1187" s="712"/>
      <c r="C1187" s="712"/>
      <c r="D1187" s="712"/>
      <c r="E1187" s="712"/>
    </row>
    <row r="1188" spans="1:5" ht="12.75">
      <c r="A1188" s="712"/>
      <c r="B1188" s="712"/>
      <c r="C1188" s="712"/>
      <c r="D1188" s="712"/>
      <c r="E1188" s="712"/>
    </row>
    <row r="1189" spans="1:5" ht="12.75">
      <c r="A1189" s="712"/>
      <c r="B1189" s="712"/>
      <c r="C1189" s="712"/>
      <c r="D1189" s="712"/>
      <c r="E1189" s="712"/>
    </row>
    <row r="1190" spans="1:5" ht="12.75">
      <c r="A1190" s="712"/>
      <c r="B1190" s="712"/>
      <c r="C1190" s="712"/>
      <c r="D1190" s="712"/>
      <c r="E1190" s="712"/>
    </row>
    <row r="1191" spans="1:5" ht="12.75">
      <c r="A1191" s="712"/>
      <c r="B1191" s="712"/>
      <c r="C1191" s="712"/>
      <c r="D1191" s="712"/>
      <c r="E1191" s="712"/>
    </row>
    <row r="1192" spans="1:5" ht="12.75">
      <c r="A1192" s="712"/>
      <c r="B1192" s="712"/>
      <c r="C1192" s="712"/>
      <c r="D1192" s="712"/>
      <c r="E1192" s="712"/>
    </row>
    <row r="1193" spans="1:5" ht="12.75">
      <c r="A1193" s="712"/>
      <c r="B1193" s="712"/>
      <c r="C1193" s="712"/>
      <c r="D1193" s="712"/>
      <c r="E1193" s="712"/>
    </row>
    <row r="1194" spans="1:5" ht="12.75">
      <c r="A1194" s="712"/>
      <c r="B1194" s="712"/>
      <c r="C1194" s="712"/>
      <c r="D1194" s="712"/>
      <c r="E1194" s="712"/>
    </row>
    <row r="1195" spans="1:5" ht="12.75">
      <c r="A1195" s="712"/>
      <c r="B1195" s="712"/>
      <c r="C1195" s="712"/>
      <c r="D1195" s="712"/>
      <c r="E1195" s="712"/>
    </row>
    <row r="1196" spans="1:5" ht="12.75">
      <c r="A1196" s="712"/>
      <c r="B1196" s="712"/>
      <c r="C1196" s="712"/>
      <c r="D1196" s="712"/>
      <c r="E1196" s="712"/>
    </row>
    <row r="1197" spans="1:5" ht="12.75">
      <c r="A1197" s="712"/>
      <c r="B1197" s="712"/>
      <c r="C1197" s="712"/>
      <c r="D1197" s="712"/>
      <c r="E1197" s="712"/>
    </row>
    <row r="1198" spans="1:5" ht="12.75">
      <c r="A1198" s="712"/>
      <c r="B1198" s="712"/>
      <c r="C1198" s="712"/>
      <c r="D1198" s="712"/>
      <c r="E1198" s="712"/>
    </row>
    <row r="1199" spans="1:5" ht="12.75">
      <c r="A1199" s="712"/>
      <c r="B1199" s="712"/>
      <c r="C1199" s="712"/>
      <c r="D1199" s="712"/>
      <c r="E1199" s="712"/>
    </row>
    <row r="1200" spans="1:5" ht="12.75">
      <c r="A1200" s="712"/>
      <c r="B1200" s="712"/>
      <c r="C1200" s="712"/>
      <c r="D1200" s="712"/>
      <c r="E1200" s="712"/>
    </row>
    <row r="1201" spans="1:5" ht="12.75">
      <c r="A1201" s="712"/>
      <c r="B1201" s="712"/>
      <c r="C1201" s="712"/>
      <c r="D1201" s="712"/>
      <c r="E1201" s="712"/>
    </row>
    <row r="1202" spans="1:5" ht="12.75">
      <c r="A1202" s="712"/>
      <c r="B1202" s="712"/>
      <c r="C1202" s="712"/>
      <c r="D1202" s="712"/>
      <c r="E1202" s="712"/>
    </row>
    <row r="1203" spans="1:5" ht="12.75">
      <c r="A1203" s="712"/>
      <c r="B1203" s="712"/>
      <c r="C1203" s="712"/>
      <c r="D1203" s="712"/>
      <c r="E1203" s="712"/>
    </row>
    <row r="1204" spans="1:5" ht="12.75">
      <c r="A1204" s="712"/>
      <c r="B1204" s="712"/>
      <c r="C1204" s="712"/>
      <c r="D1204" s="712"/>
      <c r="E1204" s="712"/>
    </row>
    <row r="1205" spans="1:5" ht="12.75">
      <c r="A1205" s="712"/>
      <c r="B1205" s="712"/>
      <c r="C1205" s="712"/>
      <c r="D1205" s="712"/>
      <c r="E1205" s="712"/>
    </row>
    <row r="1206" spans="1:5" ht="12.75">
      <c r="A1206" s="712"/>
      <c r="B1206" s="712"/>
      <c r="C1206" s="712"/>
      <c r="D1206" s="712"/>
      <c r="E1206" s="712"/>
    </row>
    <row r="1207" spans="1:5" ht="12.75">
      <c r="A1207" s="712"/>
      <c r="B1207" s="712"/>
      <c r="C1207" s="712"/>
      <c r="D1207" s="712"/>
      <c r="E1207" s="712"/>
    </row>
    <row r="1208" spans="1:5" ht="12.75">
      <c r="A1208" s="712"/>
      <c r="B1208" s="712"/>
      <c r="C1208" s="712"/>
      <c r="D1208" s="712"/>
      <c r="E1208" s="712"/>
    </row>
    <row r="1209" spans="1:5" ht="12.75">
      <c r="A1209" s="712"/>
      <c r="B1209" s="712"/>
      <c r="C1209" s="712"/>
      <c r="D1209" s="712"/>
      <c r="E1209" s="712"/>
    </row>
    <row r="1210" spans="1:5" ht="12.75">
      <c r="A1210" s="712"/>
      <c r="B1210" s="712"/>
      <c r="C1210" s="712"/>
      <c r="D1210" s="712"/>
      <c r="E1210" s="712"/>
    </row>
    <row r="1211" spans="1:5" ht="12.75">
      <c r="A1211" s="712"/>
      <c r="B1211" s="712"/>
      <c r="C1211" s="712"/>
      <c r="D1211" s="712"/>
      <c r="E1211" s="712"/>
    </row>
    <row r="1212" spans="1:5" ht="12.75">
      <c r="A1212" s="712"/>
      <c r="B1212" s="712"/>
      <c r="C1212" s="712"/>
      <c r="D1212" s="712"/>
      <c r="E1212" s="712"/>
    </row>
    <row r="1213" spans="1:5" ht="12.75">
      <c r="A1213" s="712"/>
      <c r="B1213" s="712"/>
      <c r="C1213" s="712"/>
      <c r="D1213" s="712"/>
      <c r="E1213" s="712"/>
    </row>
    <row r="1214" spans="1:5" ht="12.75">
      <c r="A1214" s="712"/>
      <c r="B1214" s="712"/>
      <c r="C1214" s="712"/>
      <c r="D1214" s="712"/>
      <c r="E1214" s="712"/>
    </row>
    <row r="1215" spans="1:5" ht="12.75">
      <c r="A1215" s="712"/>
      <c r="B1215" s="712"/>
      <c r="C1215" s="712"/>
      <c r="D1215" s="712"/>
      <c r="E1215" s="712"/>
    </row>
    <row r="1216" spans="1:5" ht="12.75">
      <c r="A1216" s="712"/>
      <c r="B1216" s="712"/>
      <c r="C1216" s="712"/>
      <c r="D1216" s="712"/>
      <c r="E1216" s="712"/>
    </row>
    <row r="1217" spans="1:5" ht="12.75">
      <c r="A1217" s="712"/>
      <c r="B1217" s="712"/>
      <c r="C1217" s="712"/>
      <c r="D1217" s="712"/>
      <c r="E1217" s="712"/>
    </row>
    <row r="1218" spans="1:5" ht="12.75">
      <c r="A1218" s="712"/>
      <c r="B1218" s="712"/>
      <c r="C1218" s="712"/>
      <c r="D1218" s="712"/>
      <c r="E1218" s="712"/>
    </row>
    <row r="1219" spans="1:5" ht="12.75">
      <c r="A1219" s="712"/>
      <c r="B1219" s="712"/>
      <c r="C1219" s="712"/>
      <c r="D1219" s="712"/>
      <c r="E1219" s="712"/>
    </row>
    <row r="1220" spans="1:5" ht="12.75">
      <c r="A1220" s="712"/>
      <c r="B1220" s="712"/>
      <c r="C1220" s="712"/>
      <c r="D1220" s="712"/>
      <c r="E1220" s="712"/>
    </row>
    <row r="1221" spans="1:5" ht="12.75">
      <c r="A1221" s="712"/>
      <c r="B1221" s="712"/>
      <c r="C1221" s="712"/>
      <c r="D1221" s="712"/>
      <c r="E1221" s="712"/>
    </row>
    <row r="1222" spans="1:5" ht="12.75">
      <c r="A1222" s="712"/>
      <c r="B1222" s="712"/>
      <c r="C1222" s="712"/>
      <c r="D1222" s="712"/>
      <c r="E1222" s="712"/>
    </row>
    <row r="1223" spans="1:5" ht="12.75">
      <c r="A1223" s="712"/>
      <c r="B1223" s="712"/>
      <c r="C1223" s="712"/>
      <c r="D1223" s="712"/>
      <c r="E1223" s="712"/>
    </row>
    <row r="1224" spans="1:5" ht="12.75">
      <c r="A1224" s="712"/>
      <c r="B1224" s="712"/>
      <c r="C1224" s="712"/>
      <c r="D1224" s="712"/>
      <c r="E1224" s="712"/>
    </row>
    <row r="1225" spans="1:5" ht="12.75">
      <c r="A1225" s="712"/>
      <c r="B1225" s="712"/>
      <c r="C1225" s="712"/>
      <c r="D1225" s="712"/>
      <c r="E1225" s="712"/>
    </row>
    <row r="1226" spans="1:5" ht="12.75">
      <c r="A1226" s="712"/>
      <c r="B1226" s="712"/>
      <c r="C1226" s="712"/>
      <c r="D1226" s="712"/>
      <c r="E1226" s="712"/>
    </row>
    <row r="1227" spans="1:5" ht="12.75">
      <c r="A1227" s="712"/>
      <c r="B1227" s="712"/>
      <c r="C1227" s="712"/>
      <c r="D1227" s="712"/>
      <c r="E1227" s="712"/>
    </row>
    <row r="1228" spans="1:5" ht="12.75">
      <c r="A1228" s="712"/>
      <c r="B1228" s="712"/>
      <c r="C1228" s="712"/>
      <c r="D1228" s="712"/>
      <c r="E1228" s="712"/>
    </row>
    <row r="1229" spans="1:5" ht="12.75">
      <c r="A1229" s="712"/>
      <c r="B1229" s="712"/>
      <c r="C1229" s="712"/>
      <c r="D1229" s="712"/>
      <c r="E1229" s="712"/>
    </row>
    <row r="1230" spans="1:5" ht="12.75">
      <c r="A1230" s="712"/>
      <c r="B1230" s="712"/>
      <c r="C1230" s="712"/>
      <c r="D1230" s="712"/>
      <c r="E1230" s="712"/>
    </row>
    <row r="1231" spans="1:5" ht="12.75">
      <c r="A1231" s="712"/>
      <c r="B1231" s="712"/>
      <c r="C1231" s="712"/>
      <c r="D1231" s="712"/>
      <c r="E1231" s="712"/>
    </row>
    <row r="1232" spans="1:5" ht="12.75">
      <c r="A1232" s="712"/>
      <c r="B1232" s="712"/>
      <c r="C1232" s="712"/>
      <c r="D1232" s="712"/>
      <c r="E1232" s="712"/>
    </row>
    <row r="1233" spans="1:5" ht="12.75">
      <c r="A1233" s="712"/>
      <c r="B1233" s="712"/>
      <c r="C1233" s="712"/>
      <c r="D1233" s="712"/>
      <c r="E1233" s="712"/>
    </row>
    <row r="1234" spans="1:5" ht="12.75">
      <c r="A1234" s="712"/>
      <c r="B1234" s="712"/>
      <c r="C1234" s="712"/>
      <c r="D1234" s="712"/>
      <c r="E1234" s="712"/>
    </row>
    <row r="1235" spans="1:5" ht="12.75">
      <c r="A1235" s="712"/>
      <c r="B1235" s="712"/>
      <c r="C1235" s="712"/>
      <c r="D1235" s="712"/>
      <c r="E1235" s="712"/>
    </row>
    <row r="1236" spans="1:5" ht="12.75">
      <c r="A1236" s="712"/>
      <c r="B1236" s="712"/>
      <c r="C1236" s="712"/>
      <c r="D1236" s="712"/>
      <c r="E1236" s="712"/>
    </row>
    <row r="1237" spans="1:5" ht="12.75">
      <c r="A1237" s="712"/>
      <c r="B1237" s="712"/>
      <c r="C1237" s="712"/>
      <c r="D1237" s="712"/>
      <c r="E1237" s="712"/>
    </row>
    <row r="1238" spans="1:5" ht="12.75">
      <c r="A1238" s="712"/>
      <c r="B1238" s="712"/>
      <c r="C1238" s="712"/>
      <c r="D1238" s="712"/>
      <c r="E1238" s="712"/>
    </row>
    <row r="1239" spans="1:5" ht="12.75">
      <c r="A1239" s="712"/>
      <c r="B1239" s="712"/>
      <c r="C1239" s="712"/>
      <c r="D1239" s="712"/>
      <c r="E1239" s="712"/>
    </row>
    <row r="1240" spans="1:5" ht="12.75">
      <c r="A1240" s="712"/>
      <c r="B1240" s="712"/>
      <c r="C1240" s="712"/>
      <c r="D1240" s="712"/>
      <c r="E1240" s="712"/>
    </row>
    <row r="1241" spans="1:5" ht="12.75">
      <c r="A1241" s="712"/>
      <c r="B1241" s="712"/>
      <c r="C1241" s="712"/>
      <c r="D1241" s="712"/>
      <c r="E1241" s="712"/>
    </row>
    <row r="1242" spans="1:5" ht="12.75">
      <c r="A1242" s="712"/>
      <c r="B1242" s="712"/>
      <c r="C1242" s="712"/>
      <c r="D1242" s="712"/>
      <c r="E1242" s="712"/>
    </row>
    <row r="1243" spans="1:5" ht="12.75">
      <c r="A1243" s="712"/>
      <c r="B1243" s="712"/>
      <c r="C1243" s="712"/>
      <c r="D1243" s="712"/>
      <c r="E1243" s="712"/>
    </row>
    <row r="1244" spans="1:5" ht="12.75">
      <c r="A1244" s="712"/>
      <c r="B1244" s="712"/>
      <c r="C1244" s="712"/>
      <c r="D1244" s="712"/>
      <c r="E1244" s="712"/>
    </row>
    <row r="1245" spans="1:5" ht="12.75">
      <c r="A1245" s="712"/>
      <c r="B1245" s="712"/>
      <c r="C1245" s="712"/>
      <c r="D1245" s="712"/>
      <c r="E1245" s="712"/>
    </row>
    <row r="1246" spans="1:5" ht="12.75">
      <c r="A1246" s="712"/>
      <c r="B1246" s="712"/>
      <c r="C1246" s="712"/>
      <c r="D1246" s="712"/>
      <c r="E1246" s="712"/>
    </row>
    <row r="1247" spans="1:5" ht="12.75">
      <c r="A1247" s="712"/>
      <c r="B1247" s="712"/>
      <c r="C1247" s="712"/>
      <c r="D1247" s="712"/>
      <c r="E1247" s="712"/>
    </row>
    <row r="1248" spans="1:5" ht="12.75">
      <c r="A1248" s="712"/>
      <c r="B1248" s="712"/>
      <c r="C1248" s="712"/>
      <c r="D1248" s="712"/>
      <c r="E1248" s="712"/>
    </row>
    <row r="1249" spans="1:5" ht="12.75">
      <c r="A1249" s="712"/>
      <c r="B1249" s="712"/>
      <c r="C1249" s="712"/>
      <c r="D1249" s="712"/>
      <c r="E1249" s="712"/>
    </row>
    <row r="1250" spans="1:5" ht="12.75">
      <c r="A1250" s="712"/>
      <c r="B1250" s="712"/>
      <c r="C1250" s="712"/>
      <c r="D1250" s="712"/>
      <c r="E1250" s="712"/>
    </row>
    <row r="1251" spans="1:5" ht="12.75">
      <c r="A1251" s="712"/>
      <c r="B1251" s="712"/>
      <c r="C1251" s="712"/>
      <c r="D1251" s="712"/>
      <c r="E1251" s="712"/>
    </row>
    <row r="1252" spans="1:5" ht="12.75">
      <c r="A1252" s="712"/>
      <c r="B1252" s="712"/>
      <c r="C1252" s="712"/>
      <c r="D1252" s="712"/>
      <c r="E1252" s="712"/>
    </row>
    <row r="1253" spans="1:5" ht="12.75">
      <c r="A1253" s="712"/>
      <c r="B1253" s="712"/>
      <c r="C1253" s="712"/>
      <c r="D1253" s="712"/>
      <c r="E1253" s="712"/>
    </row>
    <row r="1254" spans="1:5" ht="12.75">
      <c r="A1254" s="712"/>
      <c r="B1254" s="712"/>
      <c r="C1254" s="712"/>
      <c r="D1254" s="712"/>
      <c r="E1254" s="712"/>
    </row>
    <row r="1255" spans="1:5" ht="12.75">
      <c r="A1255" s="712"/>
      <c r="B1255" s="712"/>
      <c r="C1255" s="712"/>
      <c r="D1255" s="712"/>
      <c r="E1255" s="712"/>
    </row>
    <row r="1256" spans="1:5" ht="12.75">
      <c r="A1256" s="712"/>
      <c r="B1256" s="712"/>
      <c r="C1256" s="712"/>
      <c r="D1256" s="712"/>
      <c r="E1256" s="712"/>
    </row>
    <row r="1257" spans="1:5" ht="12.75">
      <c r="A1257" s="712"/>
      <c r="B1257" s="712"/>
      <c r="C1257" s="712"/>
      <c r="D1257" s="712"/>
      <c r="E1257" s="712"/>
    </row>
    <row r="1258" spans="1:5" ht="12.75">
      <c r="A1258" s="712"/>
      <c r="B1258" s="712"/>
      <c r="C1258" s="712"/>
      <c r="D1258" s="712"/>
      <c r="E1258" s="712"/>
    </row>
    <row r="1259" spans="1:5" ht="12.75">
      <c r="A1259" s="712"/>
      <c r="B1259" s="712"/>
      <c r="C1259" s="712"/>
      <c r="D1259" s="712"/>
      <c r="E1259" s="712"/>
    </row>
    <row r="1260" spans="1:5" ht="12.75">
      <c r="A1260" s="712"/>
      <c r="B1260" s="712"/>
      <c r="C1260" s="712"/>
      <c r="D1260" s="712"/>
      <c r="E1260" s="712"/>
    </row>
    <row r="1261" spans="1:5" ht="12.75">
      <c r="A1261" s="712"/>
      <c r="B1261" s="712"/>
      <c r="C1261" s="712"/>
      <c r="D1261" s="712"/>
      <c r="E1261" s="712"/>
    </row>
    <row r="1262" spans="1:5" ht="12.75">
      <c r="A1262" s="712"/>
      <c r="B1262" s="712"/>
      <c r="C1262" s="712"/>
      <c r="D1262" s="712"/>
      <c r="E1262" s="712"/>
    </row>
    <row r="1263" spans="1:5" ht="12.75">
      <c r="A1263" s="712"/>
      <c r="B1263" s="712"/>
      <c r="C1263" s="712"/>
      <c r="D1263" s="712"/>
      <c r="E1263" s="712"/>
    </row>
    <row r="1264" spans="1:5" ht="12.75">
      <c r="A1264" s="712"/>
      <c r="B1264" s="712"/>
      <c r="C1264" s="712"/>
      <c r="D1264" s="712"/>
      <c r="E1264" s="712"/>
    </row>
    <row r="1265" spans="1:5" ht="12.75">
      <c r="A1265" s="712"/>
      <c r="B1265" s="712"/>
      <c r="C1265" s="712"/>
      <c r="D1265" s="712"/>
      <c r="E1265" s="712"/>
    </row>
    <row r="1266" spans="1:5" ht="12.75">
      <c r="A1266" s="712"/>
      <c r="B1266" s="712"/>
      <c r="C1266" s="712"/>
      <c r="D1266" s="712"/>
      <c r="E1266" s="712"/>
    </row>
    <row r="1267" spans="1:5" ht="12.75">
      <c r="A1267" s="712"/>
      <c r="B1267" s="712"/>
      <c r="C1267" s="712"/>
      <c r="D1267" s="712"/>
      <c r="E1267" s="712"/>
    </row>
    <row r="1268" spans="1:5" ht="12.75">
      <c r="A1268" s="712"/>
      <c r="B1268" s="712"/>
      <c r="C1268" s="712"/>
      <c r="D1268" s="712"/>
      <c r="E1268" s="712"/>
    </row>
    <row r="1269" spans="1:5" ht="12.75">
      <c r="A1269" s="712"/>
      <c r="B1269" s="712"/>
      <c r="C1269" s="712"/>
      <c r="D1269" s="712"/>
      <c r="E1269" s="712"/>
    </row>
    <row r="1270" spans="1:5" ht="12.75">
      <c r="A1270" s="712"/>
      <c r="B1270" s="712"/>
      <c r="C1270" s="712"/>
      <c r="D1270" s="712"/>
      <c r="E1270" s="712"/>
    </row>
    <row r="1271" spans="1:5" ht="12.75">
      <c r="A1271" s="712"/>
      <c r="B1271" s="712"/>
      <c r="C1271" s="712"/>
      <c r="D1271" s="712"/>
      <c r="E1271" s="712"/>
    </row>
    <row r="1272" spans="1:5" ht="12.75">
      <c r="A1272" s="712"/>
      <c r="B1272" s="712"/>
      <c r="C1272" s="712"/>
      <c r="D1272" s="712"/>
      <c r="E1272" s="712"/>
    </row>
    <row r="1273" spans="1:5" ht="12.75">
      <c r="A1273" s="712"/>
      <c r="B1273" s="712"/>
      <c r="C1273" s="712"/>
      <c r="D1273" s="712"/>
      <c r="E1273" s="712"/>
    </row>
    <row r="1274" spans="1:5" ht="12.75">
      <c r="A1274" s="712"/>
      <c r="B1274" s="712"/>
      <c r="C1274" s="712"/>
      <c r="D1274" s="712"/>
      <c r="E1274" s="712"/>
    </row>
    <row r="1275" spans="1:5" ht="12.75">
      <c r="A1275" s="712"/>
      <c r="B1275" s="712"/>
      <c r="C1275" s="712"/>
      <c r="D1275" s="712"/>
      <c r="E1275" s="712"/>
    </row>
    <row r="1276" spans="1:5" ht="12.75">
      <c r="A1276" s="712"/>
      <c r="B1276" s="712"/>
      <c r="C1276" s="712"/>
      <c r="D1276" s="712"/>
      <c r="E1276" s="712"/>
    </row>
    <row r="1277" spans="1:5" ht="12.75">
      <c r="A1277" s="712"/>
      <c r="B1277" s="712"/>
      <c r="C1277" s="712"/>
      <c r="D1277" s="712"/>
      <c r="E1277" s="712"/>
    </row>
    <row r="1278" spans="1:5" ht="12.75">
      <c r="A1278" s="712"/>
      <c r="B1278" s="712"/>
      <c r="C1278" s="712"/>
      <c r="D1278" s="712"/>
      <c r="E1278" s="712"/>
    </row>
    <row r="1279" spans="1:5" ht="12.75">
      <c r="A1279" s="712"/>
      <c r="B1279" s="712"/>
      <c r="C1279" s="712"/>
      <c r="D1279" s="712"/>
      <c r="E1279" s="712"/>
    </row>
    <row r="1280" spans="1:5" ht="12.75">
      <c r="A1280" s="712"/>
      <c r="B1280" s="712"/>
      <c r="C1280" s="712"/>
      <c r="D1280" s="712"/>
      <c r="E1280" s="712"/>
    </row>
    <row r="1281" spans="1:5" ht="12.75">
      <c r="A1281" s="712"/>
      <c r="B1281" s="712"/>
      <c r="C1281" s="712"/>
      <c r="D1281" s="712"/>
      <c r="E1281" s="712"/>
    </row>
    <row r="1282" spans="1:5" ht="12.75">
      <c r="A1282" s="712"/>
      <c r="B1282" s="712"/>
      <c r="C1282" s="712"/>
      <c r="D1282" s="712"/>
      <c r="E1282" s="712"/>
    </row>
    <row r="1283" spans="1:5" ht="12.75">
      <c r="A1283" s="712"/>
      <c r="B1283" s="712"/>
      <c r="C1283" s="712"/>
      <c r="D1283" s="712"/>
      <c r="E1283" s="712"/>
    </row>
    <row r="1284" spans="1:5" ht="12.75">
      <c r="A1284" s="712"/>
      <c r="B1284" s="712"/>
      <c r="C1284" s="712"/>
      <c r="D1284" s="712"/>
      <c r="E1284" s="712"/>
    </row>
    <row r="1285" spans="1:5" ht="12.75">
      <c r="A1285" s="712"/>
      <c r="B1285" s="712"/>
      <c r="C1285" s="712"/>
      <c r="D1285" s="712"/>
      <c r="E1285" s="712"/>
    </row>
    <row r="1286" spans="1:5" ht="12.75">
      <c r="A1286" s="712"/>
      <c r="B1286" s="712"/>
      <c r="C1286" s="712"/>
      <c r="D1286" s="712"/>
      <c r="E1286" s="712"/>
    </row>
    <row r="1287" spans="1:5" ht="12.75">
      <c r="A1287" s="712"/>
      <c r="B1287" s="712"/>
      <c r="C1287" s="712"/>
      <c r="D1287" s="712"/>
      <c r="E1287" s="712"/>
    </row>
    <row r="1288" spans="1:5" ht="12.75">
      <c r="A1288" s="712"/>
      <c r="B1288" s="712"/>
      <c r="C1288" s="712"/>
      <c r="D1288" s="712"/>
      <c r="E1288" s="712"/>
    </row>
    <row r="1289" spans="1:5" ht="12.75">
      <c r="A1289" s="712"/>
      <c r="B1289" s="712"/>
      <c r="C1289" s="712"/>
      <c r="D1289" s="712"/>
      <c r="E1289" s="712"/>
    </row>
    <row r="1290" spans="1:5" ht="12.75">
      <c r="A1290" s="712"/>
      <c r="B1290" s="712"/>
      <c r="C1290" s="712"/>
      <c r="D1290" s="712"/>
      <c r="E1290" s="712"/>
    </row>
    <row r="1291" spans="1:5" ht="12.75">
      <c r="A1291" s="712"/>
      <c r="B1291" s="712"/>
      <c r="C1291" s="712"/>
      <c r="D1291" s="712"/>
      <c r="E1291" s="712"/>
    </row>
    <row r="1292" spans="1:5" ht="12.75">
      <c r="A1292" s="712"/>
      <c r="B1292" s="712"/>
      <c r="C1292" s="712"/>
      <c r="D1292" s="712"/>
      <c r="E1292" s="712"/>
    </row>
    <row r="1293" spans="1:5" ht="12.75">
      <c r="A1293" s="712"/>
      <c r="B1293" s="712"/>
      <c r="C1293" s="712"/>
      <c r="D1293" s="712"/>
      <c r="E1293" s="712"/>
    </row>
    <row r="1294" spans="1:5" ht="12.75">
      <c r="A1294" s="712"/>
      <c r="B1294" s="712"/>
      <c r="C1294" s="712"/>
      <c r="D1294" s="712"/>
      <c r="E1294" s="712"/>
    </row>
    <row r="1295" spans="1:5" ht="12.75">
      <c r="A1295" s="712"/>
      <c r="B1295" s="712"/>
      <c r="C1295" s="712"/>
      <c r="D1295" s="712"/>
      <c r="E1295" s="712"/>
    </row>
    <row r="1296" spans="1:5" ht="12.75">
      <c r="A1296" s="712"/>
      <c r="B1296" s="712"/>
      <c r="C1296" s="712"/>
      <c r="D1296" s="712"/>
      <c r="E1296" s="712"/>
    </row>
    <row r="1297" spans="1:5" ht="12.75">
      <c r="A1297" s="712"/>
      <c r="B1297" s="712"/>
      <c r="C1297" s="712"/>
      <c r="D1297" s="712"/>
      <c r="E1297" s="712"/>
    </row>
    <row r="1298" spans="1:5" ht="12.75">
      <c r="A1298" s="712"/>
      <c r="B1298" s="712"/>
      <c r="C1298" s="712"/>
      <c r="D1298" s="712"/>
      <c r="E1298" s="712"/>
    </row>
    <row r="1299" spans="1:5" ht="12.75">
      <c r="A1299" s="712"/>
      <c r="B1299" s="712"/>
      <c r="C1299" s="712"/>
      <c r="D1299" s="712"/>
      <c r="E1299" s="712"/>
    </row>
    <row r="1300" spans="1:5" ht="12.75">
      <c r="A1300" s="712"/>
      <c r="B1300" s="712"/>
      <c r="C1300" s="712"/>
      <c r="D1300" s="712"/>
      <c r="E1300" s="712"/>
    </row>
    <row r="1301" spans="1:5" ht="12.75">
      <c r="A1301" s="712"/>
      <c r="B1301" s="712"/>
      <c r="C1301" s="712"/>
      <c r="D1301" s="712"/>
      <c r="E1301" s="712"/>
    </row>
    <row r="1302" spans="1:5" ht="12.75">
      <c r="A1302" s="712"/>
      <c r="B1302" s="712"/>
      <c r="C1302" s="712"/>
      <c r="D1302" s="712"/>
      <c r="E1302" s="712"/>
    </row>
    <row r="1303" spans="1:5" ht="12.75">
      <c r="A1303" s="712"/>
      <c r="B1303" s="712"/>
      <c r="C1303" s="712"/>
      <c r="D1303" s="712"/>
      <c r="E1303" s="712"/>
    </row>
    <row r="1304" spans="1:5" ht="12.75">
      <c r="A1304" s="712"/>
      <c r="B1304" s="712"/>
      <c r="C1304" s="712"/>
      <c r="D1304" s="712"/>
      <c r="E1304" s="712"/>
    </row>
    <row r="1305" spans="1:5" ht="12.75">
      <c r="A1305" s="712"/>
      <c r="B1305" s="712"/>
      <c r="C1305" s="712"/>
      <c r="D1305" s="712"/>
      <c r="E1305" s="712"/>
    </row>
    <row r="1306" spans="1:5" ht="12.75">
      <c r="A1306" s="712"/>
      <c r="B1306" s="712"/>
      <c r="C1306" s="712"/>
      <c r="D1306" s="712"/>
      <c r="E1306" s="712"/>
    </row>
    <row r="1307" spans="1:5" ht="12.75">
      <c r="A1307" s="712"/>
      <c r="B1307" s="712"/>
      <c r="C1307" s="712"/>
      <c r="D1307" s="712"/>
      <c r="E1307" s="712"/>
    </row>
    <row r="1308" spans="1:5" ht="12.75">
      <c r="A1308" s="712"/>
      <c r="B1308" s="712"/>
      <c r="C1308" s="712"/>
      <c r="D1308" s="712"/>
      <c r="E1308" s="712"/>
    </row>
    <row r="1309" spans="1:5" ht="12.75">
      <c r="A1309" s="712"/>
      <c r="B1309" s="712"/>
      <c r="C1309" s="712"/>
      <c r="D1309" s="712"/>
      <c r="E1309" s="712"/>
    </row>
    <row r="1310" spans="1:5" ht="12.75">
      <c r="A1310" s="712"/>
      <c r="B1310" s="712"/>
      <c r="C1310" s="712"/>
      <c r="D1310" s="712"/>
      <c r="E1310" s="712"/>
    </row>
    <row r="1311" spans="1:5" ht="12.75">
      <c r="A1311" s="712"/>
      <c r="B1311" s="712"/>
      <c r="C1311" s="712"/>
      <c r="D1311" s="712"/>
      <c r="E1311" s="712"/>
    </row>
    <row r="1312" spans="1:5" ht="12.75">
      <c r="A1312" s="712"/>
      <c r="B1312" s="712"/>
      <c r="C1312" s="712"/>
      <c r="D1312" s="712"/>
      <c r="E1312" s="712"/>
    </row>
    <row r="1313" spans="1:5" ht="12.75">
      <c r="A1313" s="712"/>
      <c r="B1313" s="712"/>
      <c r="C1313" s="712"/>
      <c r="D1313" s="712"/>
      <c r="E1313" s="712"/>
    </row>
    <row r="1314" spans="1:5" ht="12.75">
      <c r="A1314" s="712"/>
      <c r="B1314" s="712"/>
      <c r="C1314" s="712"/>
      <c r="D1314" s="712"/>
      <c r="E1314" s="712"/>
    </row>
    <row r="1315" spans="1:5" ht="12.75">
      <c r="A1315" s="712"/>
      <c r="B1315" s="712"/>
      <c r="C1315" s="712"/>
      <c r="D1315" s="712"/>
      <c r="E1315" s="712"/>
    </row>
    <row r="1316" spans="1:5" ht="12.75">
      <c r="A1316" s="712"/>
      <c r="B1316" s="712"/>
      <c r="C1316" s="712"/>
      <c r="D1316" s="712"/>
      <c r="E1316" s="712"/>
    </row>
    <row r="1317" spans="1:5" ht="12.75">
      <c r="A1317" s="712"/>
      <c r="B1317" s="712"/>
      <c r="C1317" s="712"/>
      <c r="D1317" s="712"/>
      <c r="E1317" s="712"/>
    </row>
    <row r="1318" spans="1:5" ht="12.75">
      <c r="A1318" s="712"/>
      <c r="B1318" s="712"/>
      <c r="C1318" s="712"/>
      <c r="D1318" s="712"/>
      <c r="E1318" s="712"/>
    </row>
    <row r="1319" spans="1:5" ht="12.75">
      <c r="A1319" s="712"/>
      <c r="B1319" s="712"/>
      <c r="C1319" s="712"/>
      <c r="D1319" s="712"/>
      <c r="E1319" s="712"/>
    </row>
    <row r="1320" spans="1:5" ht="12.75">
      <c r="A1320" s="712"/>
      <c r="B1320" s="712"/>
      <c r="C1320" s="712"/>
      <c r="D1320" s="712"/>
      <c r="E1320" s="712"/>
    </row>
    <row r="1321" spans="1:5" ht="12.75">
      <c r="A1321" s="712"/>
      <c r="B1321" s="712"/>
      <c r="C1321" s="712"/>
      <c r="D1321" s="712"/>
      <c r="E1321" s="712"/>
    </row>
    <row r="1322" spans="1:5" ht="12.75">
      <c r="A1322" s="712"/>
      <c r="B1322" s="712"/>
      <c r="C1322" s="712"/>
      <c r="D1322" s="712"/>
      <c r="E1322" s="712"/>
    </row>
    <row r="1323" spans="1:5" ht="12.75">
      <c r="A1323" s="712"/>
      <c r="B1323" s="712"/>
      <c r="C1323" s="712"/>
      <c r="D1323" s="712"/>
      <c r="E1323" s="712"/>
    </row>
    <row r="1324" spans="1:5" ht="12.75">
      <c r="A1324" s="712"/>
      <c r="B1324" s="712"/>
      <c r="C1324" s="712"/>
      <c r="D1324" s="712"/>
      <c r="E1324" s="712"/>
    </row>
    <row r="1325" spans="1:5" ht="12.75">
      <c r="A1325" s="712"/>
      <c r="B1325" s="712"/>
      <c r="C1325" s="712"/>
      <c r="D1325" s="712"/>
      <c r="E1325" s="712"/>
    </row>
    <row r="1326" spans="1:5" ht="12.75">
      <c r="A1326" s="712"/>
      <c r="B1326" s="712"/>
      <c r="C1326" s="712"/>
      <c r="D1326" s="712"/>
      <c r="E1326" s="712"/>
    </row>
    <row r="1327" spans="1:5" ht="12.75">
      <c r="A1327" s="712"/>
      <c r="B1327" s="712"/>
      <c r="C1327" s="712"/>
      <c r="D1327" s="712"/>
      <c r="E1327" s="712"/>
    </row>
    <row r="1328" spans="1:5" ht="12.75">
      <c r="A1328" s="712"/>
      <c r="B1328" s="712"/>
      <c r="C1328" s="712"/>
      <c r="D1328" s="712"/>
      <c r="E1328" s="712"/>
    </row>
    <row r="1329" spans="1:5" ht="12.75">
      <c r="A1329" s="712"/>
      <c r="B1329" s="712"/>
      <c r="C1329" s="712"/>
      <c r="D1329" s="712"/>
      <c r="E1329" s="712"/>
    </row>
    <row r="1330" spans="1:5" ht="12.75">
      <c r="A1330" s="712"/>
      <c r="B1330" s="712"/>
      <c r="C1330" s="712"/>
      <c r="D1330" s="712"/>
      <c r="E1330" s="712"/>
    </row>
    <row r="1331" spans="1:5" ht="12.75">
      <c r="A1331" s="712"/>
      <c r="B1331" s="712"/>
      <c r="C1331" s="712"/>
      <c r="D1331" s="712"/>
      <c r="E1331" s="712"/>
    </row>
    <row r="1332" spans="1:5" ht="12.75">
      <c r="A1332" s="712"/>
      <c r="B1332" s="712"/>
      <c r="C1332" s="712"/>
      <c r="D1332" s="712"/>
      <c r="E1332" s="712"/>
    </row>
    <row r="1333" spans="1:5" ht="12.75">
      <c r="A1333" s="712"/>
      <c r="B1333" s="712"/>
      <c r="C1333" s="712"/>
      <c r="D1333" s="712"/>
      <c r="E1333" s="712"/>
    </row>
    <row r="1334" spans="1:5" ht="12.75">
      <c r="A1334" s="712"/>
      <c r="B1334" s="712"/>
      <c r="C1334" s="712"/>
      <c r="D1334" s="712"/>
      <c r="E1334" s="712"/>
    </row>
    <row r="1335" spans="1:5" ht="12.75">
      <c r="A1335" s="712"/>
      <c r="B1335" s="712"/>
      <c r="C1335" s="712"/>
      <c r="D1335" s="712"/>
      <c r="E1335" s="712"/>
    </row>
    <row r="1336" spans="1:5" ht="12.75">
      <c r="A1336" s="712"/>
      <c r="B1336" s="712"/>
      <c r="C1336" s="712"/>
      <c r="D1336" s="712"/>
      <c r="E1336" s="712"/>
    </row>
    <row r="1337" spans="1:5" ht="12.75">
      <c r="A1337" s="712"/>
      <c r="B1337" s="712"/>
      <c r="C1337" s="712"/>
      <c r="D1337" s="712"/>
      <c r="E1337" s="712"/>
    </row>
    <row r="1338" spans="1:5" ht="12.75">
      <c r="A1338" s="712"/>
      <c r="B1338" s="712"/>
      <c r="C1338" s="712"/>
      <c r="D1338" s="712"/>
      <c r="E1338" s="712"/>
    </row>
    <row r="1339" spans="1:5" ht="12.75">
      <c r="A1339" s="712"/>
      <c r="B1339" s="712"/>
      <c r="C1339" s="712"/>
      <c r="D1339" s="712"/>
      <c r="E1339" s="712"/>
    </row>
    <row r="1340" spans="1:5" ht="12.75">
      <c r="A1340" s="712"/>
      <c r="B1340" s="712"/>
      <c r="C1340" s="712"/>
      <c r="D1340" s="712"/>
      <c r="E1340" s="712"/>
    </row>
    <row r="1341" spans="1:5" ht="12.75">
      <c r="A1341" s="712"/>
      <c r="B1341" s="712"/>
      <c r="C1341" s="712"/>
      <c r="D1341" s="712"/>
      <c r="E1341" s="712"/>
    </row>
    <row r="1342" spans="1:5" ht="12.75">
      <c r="A1342" s="712"/>
      <c r="B1342" s="712"/>
      <c r="C1342" s="712"/>
      <c r="D1342" s="712"/>
      <c r="E1342" s="712"/>
    </row>
    <row r="1343" spans="1:5" ht="12.75">
      <c r="A1343" s="712"/>
      <c r="B1343" s="712"/>
      <c r="C1343" s="712"/>
      <c r="D1343" s="712"/>
      <c r="E1343" s="712"/>
    </row>
    <row r="1344" spans="1:5" ht="12.75">
      <c r="A1344" s="712"/>
      <c r="B1344" s="712"/>
      <c r="C1344" s="712"/>
      <c r="D1344" s="712"/>
      <c r="E1344" s="712"/>
    </row>
    <row r="1345" spans="1:5" ht="12.75">
      <c r="A1345" s="712"/>
      <c r="B1345" s="712"/>
      <c r="C1345" s="712"/>
      <c r="D1345" s="712"/>
      <c r="E1345" s="712"/>
    </row>
    <row r="1346" spans="1:5" ht="12.75">
      <c r="A1346" s="712"/>
      <c r="B1346" s="712"/>
      <c r="C1346" s="712"/>
      <c r="D1346" s="712"/>
      <c r="E1346" s="712"/>
    </row>
    <row r="1347" spans="1:5" ht="12.75">
      <c r="A1347" s="712"/>
      <c r="B1347" s="712"/>
      <c r="C1347" s="712"/>
      <c r="D1347" s="712"/>
      <c r="E1347" s="712"/>
    </row>
    <row r="1348" spans="1:5" ht="12.75">
      <c r="A1348" s="712"/>
      <c r="B1348" s="712"/>
      <c r="C1348" s="712"/>
      <c r="D1348" s="712"/>
      <c r="E1348" s="712"/>
    </row>
    <row r="1349" spans="1:5" ht="12.75">
      <c r="A1349" s="712"/>
      <c r="B1349" s="712"/>
      <c r="C1349" s="712"/>
      <c r="D1349" s="712"/>
      <c r="E1349" s="712"/>
    </row>
    <row r="1350" spans="1:5" ht="12.75">
      <c r="A1350" s="712"/>
      <c r="B1350" s="712"/>
      <c r="C1350" s="712"/>
      <c r="D1350" s="712"/>
      <c r="E1350" s="712"/>
    </row>
    <row r="1351" spans="1:5" ht="12.75">
      <c r="A1351" s="712"/>
      <c r="B1351" s="712"/>
      <c r="C1351" s="712"/>
      <c r="D1351" s="712"/>
      <c r="E1351" s="712"/>
    </row>
    <row r="1352" spans="1:5" ht="12.75">
      <c r="A1352" s="712"/>
      <c r="B1352" s="712"/>
      <c r="C1352" s="712"/>
      <c r="D1352" s="712"/>
      <c r="E1352" s="712"/>
    </row>
    <row r="1353" spans="1:5" ht="12.75">
      <c r="A1353" s="712"/>
      <c r="B1353" s="712"/>
      <c r="C1353" s="712"/>
      <c r="D1353" s="712"/>
      <c r="E1353" s="712"/>
    </row>
    <row r="1354" spans="1:5" ht="12.75">
      <c r="A1354" s="712"/>
      <c r="B1354" s="712"/>
      <c r="C1354" s="712"/>
      <c r="D1354" s="712"/>
      <c r="E1354" s="712"/>
    </row>
    <row r="1355" spans="1:5" ht="12.75">
      <c r="A1355" s="712"/>
      <c r="B1355" s="712"/>
      <c r="C1355" s="712"/>
      <c r="D1355" s="712"/>
      <c r="E1355" s="712"/>
    </row>
    <row r="1356" spans="1:5" ht="12.75">
      <c r="A1356" s="712"/>
      <c r="B1356" s="712"/>
      <c r="C1356" s="712"/>
      <c r="D1356" s="712"/>
      <c r="E1356" s="712"/>
    </row>
    <row r="1357" spans="1:5" ht="12.75">
      <c r="A1357" s="712"/>
      <c r="B1357" s="712"/>
      <c r="C1357" s="712"/>
      <c r="D1357" s="712"/>
      <c r="E1357" s="712"/>
    </row>
    <row r="1358" spans="1:5" ht="12.75">
      <c r="A1358" s="712"/>
      <c r="B1358" s="712"/>
      <c r="C1358" s="712"/>
      <c r="D1358" s="712"/>
      <c r="E1358" s="712"/>
    </row>
    <row r="1359" spans="1:5" ht="12.75">
      <c r="A1359" s="712"/>
      <c r="B1359" s="712"/>
      <c r="C1359" s="712"/>
      <c r="D1359" s="712"/>
      <c r="E1359" s="712"/>
    </row>
    <row r="1360" spans="1:5" ht="12.75">
      <c r="A1360" s="712"/>
      <c r="B1360" s="712"/>
      <c r="C1360" s="712"/>
      <c r="D1360" s="712"/>
      <c r="E1360" s="712"/>
    </row>
    <row r="1361" spans="1:5" ht="12.75">
      <c r="A1361" s="712"/>
      <c r="B1361" s="712"/>
      <c r="C1361" s="712"/>
      <c r="D1361" s="712"/>
      <c r="E1361" s="712"/>
    </row>
    <row r="1362" spans="1:5" ht="12.75">
      <c r="A1362" s="712"/>
      <c r="B1362" s="712"/>
      <c r="C1362" s="712"/>
      <c r="D1362" s="712"/>
      <c r="E1362" s="712"/>
    </row>
    <row r="1363" spans="1:5" ht="12.75">
      <c r="A1363" s="712"/>
      <c r="B1363" s="712"/>
      <c r="C1363" s="712"/>
      <c r="D1363" s="712"/>
      <c r="E1363" s="712"/>
    </row>
    <row r="1364" spans="1:5" ht="12.75">
      <c r="A1364" s="712"/>
      <c r="B1364" s="712"/>
      <c r="C1364" s="712"/>
      <c r="D1364" s="712"/>
      <c r="E1364" s="712"/>
    </row>
    <row r="1365" spans="1:5" ht="12.75">
      <c r="A1365" s="712"/>
      <c r="B1365" s="712"/>
      <c r="C1365" s="712"/>
      <c r="D1365" s="712"/>
      <c r="E1365" s="712"/>
    </row>
    <row r="1366" spans="1:5" ht="12.75">
      <c r="A1366" s="712"/>
      <c r="B1366" s="712"/>
      <c r="C1366" s="712"/>
      <c r="D1366" s="712"/>
      <c r="E1366" s="712"/>
    </row>
    <row r="1367" spans="1:5" ht="12.75">
      <c r="A1367" s="712"/>
      <c r="B1367" s="712"/>
      <c r="C1367" s="712"/>
      <c r="D1367" s="712"/>
      <c r="E1367" s="712"/>
    </row>
    <row r="1368" spans="1:5" ht="12.75">
      <c r="A1368" s="712"/>
      <c r="B1368" s="712"/>
      <c r="C1368" s="712"/>
      <c r="D1368" s="712"/>
      <c r="E1368" s="712"/>
    </row>
    <row r="1369" spans="1:5" ht="12.75">
      <c r="A1369" s="712"/>
      <c r="B1369" s="712"/>
      <c r="C1369" s="712"/>
      <c r="D1369" s="712"/>
      <c r="E1369" s="712"/>
    </row>
    <row r="1370" spans="1:5" ht="12.75">
      <c r="A1370" s="712"/>
      <c r="B1370" s="712"/>
      <c r="C1370" s="712"/>
      <c r="D1370" s="712"/>
      <c r="E1370" s="712"/>
    </row>
    <row r="1371" spans="1:5" ht="12.75">
      <c r="A1371" s="712"/>
      <c r="B1371" s="712"/>
      <c r="C1371" s="712"/>
      <c r="D1371" s="712"/>
      <c r="E1371" s="712"/>
    </row>
    <row r="1372" spans="1:5" ht="12.75">
      <c r="A1372" s="712"/>
      <c r="B1372" s="712"/>
      <c r="C1372" s="712"/>
      <c r="D1372" s="712"/>
      <c r="E1372" s="712"/>
    </row>
    <row r="1373" spans="1:5" ht="12.75">
      <c r="A1373" s="712"/>
      <c r="B1373" s="712"/>
      <c r="C1373" s="712"/>
      <c r="D1373" s="712"/>
      <c r="E1373" s="712"/>
    </row>
    <row r="1374" spans="1:5" ht="12.75">
      <c r="A1374" s="712"/>
      <c r="B1374" s="712"/>
      <c r="C1374" s="712"/>
      <c r="D1374" s="712"/>
      <c r="E1374" s="712"/>
    </row>
    <row r="1375" spans="1:5" ht="12.75">
      <c r="A1375" s="712"/>
      <c r="B1375" s="712"/>
      <c r="C1375" s="712"/>
      <c r="D1375" s="712"/>
      <c r="E1375" s="712"/>
    </row>
    <row r="1376" spans="1:5" ht="12.75">
      <c r="A1376" s="712"/>
      <c r="B1376" s="712"/>
      <c r="C1376" s="712"/>
      <c r="D1376" s="712"/>
      <c r="E1376" s="712"/>
    </row>
    <row r="1377" spans="1:5" ht="12.75">
      <c r="A1377" s="712"/>
      <c r="B1377" s="712"/>
      <c r="C1377" s="712"/>
      <c r="D1377" s="712"/>
      <c r="E1377" s="712"/>
    </row>
    <row r="1378" spans="1:5" ht="12.75">
      <c r="A1378" s="712"/>
      <c r="B1378" s="712"/>
      <c r="C1378" s="712"/>
      <c r="D1378" s="712"/>
      <c r="E1378" s="712"/>
    </row>
    <row r="1379" spans="1:5" ht="12.75">
      <c r="A1379" s="712"/>
      <c r="B1379" s="712"/>
      <c r="C1379" s="712"/>
      <c r="D1379" s="712"/>
      <c r="E1379" s="712"/>
    </row>
    <row r="1380" spans="1:5" ht="12.75">
      <c r="A1380" s="712"/>
      <c r="B1380" s="712"/>
      <c r="C1380" s="712"/>
      <c r="D1380" s="712"/>
      <c r="E1380" s="712"/>
    </row>
    <row r="1381" spans="1:5" ht="12.75">
      <c r="A1381" s="712"/>
      <c r="B1381" s="712"/>
      <c r="C1381" s="712"/>
      <c r="D1381" s="712"/>
      <c r="E1381" s="712"/>
    </row>
    <row r="1382" spans="1:5" ht="12.75">
      <c r="A1382" s="712"/>
      <c r="B1382" s="712"/>
      <c r="C1382" s="712"/>
      <c r="D1382" s="712"/>
      <c r="E1382" s="712"/>
    </row>
    <row r="1383" spans="1:5" ht="12.75">
      <c r="A1383" s="712"/>
      <c r="B1383" s="712"/>
      <c r="C1383" s="712"/>
      <c r="D1383" s="712"/>
      <c r="E1383" s="712"/>
    </row>
    <row r="1384" spans="1:5" ht="12.75">
      <c r="A1384" s="712"/>
      <c r="B1384" s="712"/>
      <c r="C1384" s="712"/>
      <c r="D1384" s="712"/>
      <c r="E1384" s="712"/>
    </row>
    <row r="1385" spans="1:5" ht="12.75">
      <c r="A1385" s="712"/>
      <c r="B1385" s="712"/>
      <c r="C1385" s="712"/>
      <c r="D1385" s="712"/>
      <c r="E1385" s="712"/>
    </row>
    <row r="1386" spans="1:5" ht="12.75">
      <c r="A1386" s="712"/>
      <c r="B1386" s="712"/>
      <c r="C1386" s="712"/>
      <c r="D1386" s="712"/>
      <c r="E1386" s="712"/>
    </row>
    <row r="1387" spans="1:5" ht="12.75">
      <c r="A1387" s="712"/>
      <c r="B1387" s="712"/>
      <c r="C1387" s="712"/>
      <c r="D1387" s="712"/>
      <c r="E1387" s="712"/>
    </row>
    <row r="1388" spans="1:5" ht="12.75">
      <c r="A1388" s="712"/>
      <c r="B1388" s="712"/>
      <c r="C1388" s="712"/>
      <c r="D1388" s="712"/>
      <c r="E1388" s="712"/>
    </row>
    <row r="1389" spans="1:5" ht="12.75">
      <c r="A1389" s="712"/>
      <c r="B1389" s="712"/>
      <c r="C1389" s="712"/>
      <c r="D1389" s="712"/>
      <c r="E1389" s="712"/>
    </row>
    <row r="1390" spans="1:5" ht="12.75">
      <c r="A1390" s="712"/>
      <c r="B1390" s="712"/>
      <c r="C1390" s="712"/>
      <c r="D1390" s="712"/>
      <c r="E1390" s="712"/>
    </row>
    <row r="1391" spans="1:5" ht="12.75">
      <c r="A1391" s="712"/>
      <c r="B1391" s="712"/>
      <c r="C1391" s="712"/>
      <c r="D1391" s="712"/>
      <c r="E1391" s="712"/>
    </row>
    <row r="1392" spans="1:5" ht="12.75">
      <c r="A1392" s="712"/>
      <c r="B1392" s="712"/>
      <c r="C1392" s="712"/>
      <c r="D1392" s="712"/>
      <c r="E1392" s="712"/>
    </row>
    <row r="1393" spans="1:5" ht="12.75">
      <c r="A1393" s="712"/>
      <c r="B1393" s="712"/>
      <c r="C1393" s="712"/>
      <c r="D1393" s="712"/>
      <c r="E1393" s="712"/>
    </row>
    <row r="1394" spans="1:5" ht="12.75">
      <c r="A1394" s="712"/>
      <c r="B1394" s="712"/>
      <c r="C1394" s="712"/>
      <c r="D1394" s="712"/>
      <c r="E1394" s="712"/>
    </row>
    <row r="1395" spans="1:5" ht="12.75">
      <c r="A1395" s="712"/>
      <c r="B1395" s="712"/>
      <c r="C1395" s="712"/>
      <c r="D1395" s="712"/>
      <c r="E1395" s="712"/>
    </row>
    <row r="1396" spans="1:5" ht="12.75">
      <c r="A1396" s="712"/>
      <c r="B1396" s="712"/>
      <c r="C1396" s="712"/>
      <c r="D1396" s="712"/>
      <c r="E1396" s="712"/>
    </row>
    <row r="1397" spans="1:5" ht="12.75">
      <c r="A1397" s="712"/>
      <c r="B1397" s="712"/>
      <c r="C1397" s="712"/>
      <c r="D1397" s="712"/>
      <c r="E1397" s="712"/>
    </row>
    <row r="1398" spans="1:5" ht="12.75">
      <c r="A1398" s="712"/>
      <c r="B1398" s="712"/>
      <c r="C1398" s="712"/>
      <c r="D1398" s="712"/>
      <c r="E1398" s="712"/>
    </row>
    <row r="1399" spans="1:5" ht="12.75">
      <c r="A1399" s="712"/>
      <c r="B1399" s="712"/>
      <c r="C1399" s="712"/>
      <c r="D1399" s="712"/>
      <c r="E1399" s="712"/>
    </row>
    <row r="1400" spans="1:5" ht="12.75">
      <c r="A1400" s="712"/>
      <c r="B1400" s="712"/>
      <c r="C1400" s="712"/>
      <c r="D1400" s="712"/>
      <c r="E1400" s="712"/>
    </row>
    <row r="1401" spans="1:5" ht="12.75">
      <c r="A1401" s="712"/>
      <c r="B1401" s="712"/>
      <c r="C1401" s="712"/>
      <c r="D1401" s="712"/>
      <c r="E1401" s="712"/>
    </row>
    <row r="1402" spans="1:5" ht="12.75">
      <c r="A1402" s="712"/>
      <c r="B1402" s="712"/>
      <c r="C1402" s="712"/>
      <c r="D1402" s="712"/>
      <c r="E1402" s="712"/>
    </row>
    <row r="1403" spans="1:5" ht="12.75">
      <c r="A1403" s="712"/>
      <c r="B1403" s="712"/>
      <c r="C1403" s="712"/>
      <c r="D1403" s="712"/>
      <c r="E1403" s="712"/>
    </row>
    <row r="1404" spans="1:5" ht="12.75">
      <c r="A1404" s="712"/>
      <c r="B1404" s="712"/>
      <c r="C1404" s="712"/>
      <c r="D1404" s="712"/>
      <c r="E1404" s="712"/>
    </row>
    <row r="1405" spans="1:5" ht="12.75">
      <c r="A1405" s="712"/>
      <c r="B1405" s="712"/>
      <c r="C1405" s="712"/>
      <c r="D1405" s="712"/>
      <c r="E1405" s="712"/>
    </row>
    <row r="1406" spans="1:5" ht="12.75">
      <c r="A1406" s="712"/>
      <c r="B1406" s="712"/>
      <c r="C1406" s="712"/>
      <c r="D1406" s="712"/>
      <c r="E1406" s="712"/>
    </row>
    <row r="1407" spans="1:5" ht="12.75">
      <c r="A1407" s="712"/>
      <c r="B1407" s="712"/>
      <c r="C1407" s="712"/>
      <c r="D1407" s="712"/>
      <c r="E1407" s="712"/>
    </row>
    <row r="1408" spans="1:5" ht="12.75">
      <c r="A1408" s="712"/>
      <c r="B1408" s="712"/>
      <c r="C1408" s="712"/>
      <c r="D1408" s="712"/>
      <c r="E1408" s="712"/>
    </row>
    <row r="1409" spans="1:5" ht="12.75">
      <c r="A1409" s="712"/>
      <c r="B1409" s="712"/>
      <c r="C1409" s="712"/>
      <c r="D1409" s="712"/>
      <c r="E1409" s="712"/>
    </row>
    <row r="1410" spans="1:5" ht="12.75">
      <c r="A1410" s="712"/>
      <c r="B1410" s="712"/>
      <c r="C1410" s="712"/>
      <c r="D1410" s="712"/>
      <c r="E1410" s="712"/>
    </row>
    <row r="1411" spans="1:5" ht="12.75">
      <c r="A1411" s="712"/>
      <c r="B1411" s="712"/>
      <c r="C1411" s="712"/>
      <c r="D1411" s="712"/>
      <c r="E1411" s="712"/>
    </row>
    <row r="1412" spans="1:5" ht="12.75">
      <c r="A1412" s="712"/>
      <c r="B1412" s="712"/>
      <c r="C1412" s="712"/>
      <c r="D1412" s="712"/>
      <c r="E1412" s="712"/>
    </row>
    <row r="1413" spans="1:5" ht="12.75">
      <c r="A1413" s="712"/>
      <c r="B1413" s="712"/>
      <c r="C1413" s="712"/>
      <c r="D1413" s="712"/>
      <c r="E1413" s="712"/>
    </row>
    <row r="1414" spans="1:5" ht="12.75">
      <c r="A1414" s="712"/>
      <c r="B1414" s="712"/>
      <c r="C1414" s="712"/>
      <c r="D1414" s="712"/>
      <c r="E1414" s="712"/>
    </row>
    <row r="1415" spans="1:5" ht="12.75">
      <c r="A1415" s="712"/>
      <c r="B1415" s="712"/>
      <c r="C1415" s="712"/>
      <c r="D1415" s="712"/>
      <c r="E1415" s="712"/>
    </row>
    <row r="1416" spans="1:5" ht="12.75">
      <c r="A1416" s="712"/>
      <c r="B1416" s="712"/>
      <c r="C1416" s="712"/>
      <c r="D1416" s="712"/>
      <c r="E1416" s="712"/>
    </row>
    <row r="1417" spans="1:5" ht="12.75">
      <c r="A1417" s="712"/>
      <c r="B1417" s="712"/>
      <c r="C1417" s="712"/>
      <c r="D1417" s="712"/>
      <c r="E1417" s="712"/>
    </row>
    <row r="1418" spans="1:5" ht="12.75">
      <c r="A1418" s="712"/>
      <c r="B1418" s="712"/>
      <c r="C1418" s="712"/>
      <c r="D1418" s="712"/>
      <c r="E1418" s="712"/>
    </row>
    <row r="1419" spans="1:5" ht="12.75">
      <c r="A1419" s="712"/>
      <c r="B1419" s="712"/>
      <c r="C1419" s="712"/>
      <c r="D1419" s="712"/>
      <c r="E1419" s="712"/>
    </row>
    <row r="1420" spans="1:5" ht="12.75">
      <c r="A1420" s="712"/>
      <c r="B1420" s="712"/>
      <c r="C1420" s="712"/>
      <c r="D1420" s="712"/>
      <c r="E1420" s="712"/>
    </row>
    <row r="1421" spans="1:5" ht="12.75">
      <c r="A1421" s="712"/>
      <c r="B1421" s="712"/>
      <c r="C1421" s="712"/>
      <c r="D1421" s="712"/>
      <c r="E1421" s="712"/>
    </row>
    <row r="1422" spans="1:5" ht="12.75">
      <c r="A1422" s="712"/>
      <c r="B1422" s="712"/>
      <c r="C1422" s="712"/>
      <c r="D1422" s="712"/>
      <c r="E1422" s="712"/>
    </row>
    <row r="1423" spans="1:5" ht="12.75">
      <c r="A1423" s="712"/>
      <c r="B1423" s="712"/>
      <c r="C1423" s="712"/>
      <c r="D1423" s="712"/>
      <c r="E1423" s="712"/>
    </row>
    <row r="1424" spans="1:5" ht="12.75">
      <c r="A1424" s="712"/>
      <c r="B1424" s="712"/>
      <c r="C1424" s="712"/>
      <c r="D1424" s="712"/>
      <c r="E1424" s="712"/>
    </row>
    <row r="1425" spans="1:5" ht="12.75">
      <c r="A1425" s="712"/>
      <c r="B1425" s="712"/>
      <c r="C1425" s="712"/>
      <c r="D1425" s="712"/>
      <c r="E1425" s="712"/>
    </row>
    <row r="1426" spans="1:5" ht="12.75">
      <c r="A1426" s="712"/>
      <c r="B1426" s="712"/>
      <c r="C1426" s="712"/>
      <c r="D1426" s="712"/>
      <c r="E1426" s="712"/>
    </row>
    <row r="1427" spans="1:5" ht="12.75">
      <c r="A1427" s="712"/>
      <c r="B1427" s="712"/>
      <c r="C1427" s="712"/>
      <c r="D1427" s="712"/>
      <c r="E1427" s="712"/>
    </row>
    <row r="1428" spans="1:5" ht="12.75">
      <c r="A1428" s="712"/>
      <c r="B1428" s="712"/>
      <c r="C1428" s="712"/>
      <c r="D1428" s="712"/>
      <c r="E1428" s="712"/>
    </row>
    <row r="1429" spans="1:5" ht="12.75">
      <c r="A1429" s="712"/>
      <c r="B1429" s="712"/>
      <c r="C1429" s="712"/>
      <c r="D1429" s="712"/>
      <c r="E1429" s="712"/>
    </row>
    <row r="1430" spans="1:5" ht="12.75">
      <c r="A1430" s="712"/>
      <c r="B1430" s="712"/>
      <c r="C1430" s="712"/>
      <c r="D1430" s="712"/>
      <c r="E1430" s="712"/>
    </row>
    <row r="1431" spans="1:5" ht="12.75">
      <c r="A1431" s="712"/>
      <c r="B1431" s="712"/>
      <c r="C1431" s="712"/>
      <c r="D1431" s="712"/>
      <c r="E1431" s="712"/>
    </row>
    <row r="1432" spans="1:5" ht="12.75">
      <c r="A1432" s="712"/>
      <c r="B1432" s="712"/>
      <c r="C1432" s="712"/>
      <c r="D1432" s="712"/>
      <c r="E1432" s="712"/>
    </row>
    <row r="1433" spans="1:5" ht="12.75">
      <c r="A1433" s="712"/>
      <c r="B1433" s="712"/>
      <c r="C1433" s="712"/>
      <c r="D1433" s="712"/>
      <c r="E1433" s="712"/>
    </row>
    <row r="1434" spans="1:5" ht="12.75">
      <c r="A1434" s="712"/>
      <c r="B1434" s="712"/>
      <c r="C1434" s="712"/>
      <c r="D1434" s="712"/>
      <c r="E1434" s="712"/>
    </row>
    <row r="1435" spans="1:5" ht="12.75">
      <c r="A1435" s="712"/>
      <c r="B1435" s="712"/>
      <c r="C1435" s="712"/>
      <c r="D1435" s="712"/>
      <c r="E1435" s="712"/>
    </row>
    <row r="1436" spans="1:5" ht="12.75">
      <c r="A1436" s="712"/>
      <c r="B1436" s="712"/>
      <c r="C1436" s="712"/>
      <c r="D1436" s="712"/>
      <c r="E1436" s="712"/>
    </row>
    <row r="1437" spans="1:5" ht="12.75">
      <c r="A1437" s="712"/>
      <c r="B1437" s="712"/>
      <c r="C1437" s="712"/>
      <c r="D1437" s="712"/>
      <c r="E1437" s="712"/>
    </row>
    <row r="1438" spans="1:5" ht="12.75">
      <c r="A1438" s="712"/>
      <c r="B1438" s="712"/>
      <c r="C1438" s="712"/>
      <c r="D1438" s="712"/>
      <c r="E1438" s="712"/>
    </row>
    <row r="1439" spans="1:5" ht="12.75">
      <c r="A1439" s="712"/>
      <c r="B1439" s="712"/>
      <c r="C1439" s="712"/>
      <c r="D1439" s="712"/>
      <c r="E1439" s="712"/>
    </row>
    <row r="1440" spans="1:5" ht="12.75">
      <c r="A1440" s="712"/>
      <c r="B1440" s="712"/>
      <c r="C1440" s="712"/>
      <c r="D1440" s="712"/>
      <c r="E1440" s="712"/>
    </row>
    <row r="1441" spans="1:5" ht="12.75">
      <c r="A1441" s="712"/>
      <c r="B1441" s="712"/>
      <c r="C1441" s="712"/>
      <c r="D1441" s="712"/>
      <c r="E1441" s="712"/>
    </row>
    <row r="1442" spans="1:5" ht="12.75">
      <c r="A1442" s="712"/>
      <c r="B1442" s="712"/>
      <c r="C1442" s="712"/>
      <c r="D1442" s="712"/>
      <c r="E1442" s="712"/>
    </row>
    <row r="1443" spans="1:5" ht="12.75">
      <c r="A1443" s="712"/>
      <c r="B1443" s="712"/>
      <c r="C1443" s="712"/>
      <c r="D1443" s="712"/>
      <c r="E1443" s="712"/>
    </row>
    <row r="1444" spans="1:5" ht="12.75">
      <c r="A1444" s="712"/>
      <c r="B1444" s="712"/>
      <c r="C1444" s="712"/>
      <c r="D1444" s="712"/>
      <c r="E1444" s="712"/>
    </row>
    <row r="1445" spans="1:5" ht="12.75">
      <c r="A1445" s="712"/>
      <c r="B1445" s="712"/>
      <c r="C1445" s="712"/>
      <c r="D1445" s="712"/>
      <c r="E1445" s="712"/>
    </row>
    <row r="1446" spans="1:5" ht="12.75">
      <c r="A1446" s="712"/>
      <c r="B1446" s="712"/>
      <c r="C1446" s="712"/>
      <c r="D1446" s="712"/>
      <c r="E1446" s="712"/>
    </row>
    <row r="1447" spans="1:5" ht="12.75">
      <c r="A1447" s="712"/>
      <c r="B1447" s="712"/>
      <c r="C1447" s="712"/>
      <c r="D1447" s="712"/>
      <c r="E1447" s="712"/>
    </row>
    <row r="1448" spans="1:5" ht="12.75">
      <c r="A1448" s="712"/>
      <c r="B1448" s="712"/>
      <c r="C1448" s="712"/>
      <c r="D1448" s="712"/>
      <c r="E1448" s="712"/>
    </row>
    <row r="1449" spans="1:5" ht="12.75">
      <c r="A1449" s="712"/>
      <c r="B1449" s="712"/>
      <c r="C1449" s="712"/>
      <c r="D1449" s="712"/>
      <c r="E1449" s="712"/>
    </row>
    <row r="1450" spans="1:5" ht="12.75">
      <c r="A1450" s="712"/>
      <c r="B1450" s="712"/>
      <c r="C1450" s="712"/>
      <c r="D1450" s="712"/>
      <c r="E1450" s="712"/>
    </row>
    <row r="1451" spans="1:5" ht="12.75">
      <c r="A1451" s="712"/>
      <c r="B1451" s="712"/>
      <c r="C1451" s="712"/>
      <c r="D1451" s="712"/>
      <c r="E1451" s="712"/>
    </row>
    <row r="1452" spans="1:5" ht="12.75">
      <c r="A1452" s="712"/>
      <c r="B1452" s="712"/>
      <c r="C1452" s="712"/>
      <c r="D1452" s="712"/>
      <c r="E1452" s="712"/>
    </row>
    <row r="1453" spans="1:5" ht="12.75">
      <c r="A1453" s="712"/>
      <c r="B1453" s="712"/>
      <c r="C1453" s="712"/>
      <c r="D1453" s="712"/>
      <c r="E1453" s="712"/>
    </row>
    <row r="1454" spans="1:5" ht="12.75">
      <c r="A1454" s="712"/>
      <c r="B1454" s="712"/>
      <c r="C1454" s="712"/>
      <c r="D1454" s="712"/>
      <c r="E1454" s="712"/>
    </row>
    <row r="1455" spans="1:5" ht="12.75">
      <c r="A1455" s="712"/>
      <c r="B1455" s="712"/>
      <c r="C1455" s="712"/>
      <c r="D1455" s="712"/>
      <c r="E1455" s="712"/>
    </row>
    <row r="1456" spans="1:5" ht="12.75">
      <c r="A1456" s="712"/>
      <c r="B1456" s="712"/>
      <c r="C1456" s="712"/>
      <c r="D1456" s="712"/>
      <c r="E1456" s="712"/>
    </row>
    <row r="1457" spans="1:5" ht="12.75">
      <c r="A1457" s="712"/>
      <c r="B1457" s="712"/>
      <c r="C1457" s="712"/>
      <c r="D1457" s="712"/>
      <c r="E1457" s="712"/>
    </row>
    <row r="1458" spans="1:5" ht="12.75">
      <c r="A1458" s="712"/>
      <c r="B1458" s="712"/>
      <c r="C1458" s="712"/>
      <c r="D1458" s="712"/>
      <c r="E1458" s="712"/>
    </row>
    <row r="1459" spans="1:5" ht="12.75">
      <c r="A1459" s="712"/>
      <c r="B1459" s="712"/>
      <c r="C1459" s="712"/>
      <c r="D1459" s="712"/>
      <c r="E1459" s="712"/>
    </row>
    <row r="1460" spans="1:5" ht="12.75">
      <c r="A1460" s="712"/>
      <c r="B1460" s="712"/>
      <c r="C1460" s="712"/>
      <c r="D1460" s="712"/>
      <c r="E1460" s="712"/>
    </row>
    <row r="1461" spans="1:5" ht="12.75">
      <c r="A1461" s="712"/>
      <c r="B1461" s="712"/>
      <c r="C1461" s="712"/>
      <c r="D1461" s="712"/>
      <c r="E1461" s="712"/>
    </row>
    <row r="1462" spans="1:5" ht="12.75">
      <c r="A1462" s="712"/>
      <c r="B1462" s="712"/>
      <c r="C1462" s="712"/>
      <c r="D1462" s="712"/>
      <c r="E1462" s="712"/>
    </row>
    <row r="1463" spans="1:5" ht="12.75">
      <c r="A1463" s="712"/>
      <c r="B1463" s="712"/>
      <c r="C1463" s="712"/>
      <c r="D1463" s="712"/>
      <c r="E1463" s="712"/>
    </row>
    <row r="1464" spans="1:5" ht="12.75">
      <c r="A1464" s="712"/>
      <c r="B1464" s="712"/>
      <c r="C1464" s="712"/>
      <c r="D1464" s="712"/>
      <c r="E1464" s="712"/>
    </row>
    <row r="1465" spans="1:5" ht="12.75">
      <c r="A1465" s="712"/>
      <c r="B1465" s="712"/>
      <c r="C1465" s="712"/>
      <c r="D1465" s="712"/>
      <c r="E1465" s="712"/>
    </row>
    <row r="1466" spans="1:5" ht="12.75">
      <c r="A1466" s="712"/>
      <c r="B1466" s="712"/>
      <c r="C1466" s="712"/>
      <c r="D1466" s="712"/>
      <c r="E1466" s="712"/>
    </row>
    <row r="1467" spans="1:5" ht="12.75">
      <c r="A1467" s="712"/>
      <c r="B1467" s="712"/>
      <c r="C1467" s="712"/>
      <c r="D1467" s="712"/>
      <c r="E1467" s="712"/>
    </row>
    <row r="1468" spans="1:5" ht="12.75">
      <c r="A1468" s="712"/>
      <c r="B1468" s="712"/>
      <c r="C1468" s="712"/>
      <c r="D1468" s="712"/>
      <c r="E1468" s="712"/>
    </row>
    <row r="1469" spans="1:5" ht="12.75">
      <c r="A1469" s="712"/>
      <c r="B1469" s="712"/>
      <c r="C1469" s="712"/>
      <c r="D1469" s="712"/>
      <c r="E1469" s="712"/>
    </row>
    <row r="1470" spans="1:5" ht="12.75">
      <c r="A1470" s="712"/>
      <c r="B1470" s="712"/>
      <c r="C1470" s="712"/>
      <c r="D1470" s="712"/>
      <c r="E1470" s="712"/>
    </row>
    <row r="1471" spans="1:5" ht="12.75">
      <c r="A1471" s="712"/>
      <c r="B1471" s="712"/>
      <c r="C1471" s="712"/>
      <c r="D1471" s="712"/>
      <c r="E1471" s="712"/>
    </row>
    <row r="1472" spans="1:5" ht="12.75">
      <c r="A1472" s="712"/>
      <c r="B1472" s="712"/>
      <c r="C1472" s="712"/>
      <c r="D1472" s="712"/>
      <c r="E1472" s="712"/>
    </row>
    <row r="1473" spans="1:5" ht="12.75">
      <c r="A1473" s="712"/>
      <c r="B1473" s="712"/>
      <c r="C1473" s="712"/>
      <c r="D1473" s="712"/>
      <c r="E1473" s="712"/>
    </row>
    <row r="1474" spans="1:5" ht="12.75">
      <c r="A1474" s="712"/>
      <c r="B1474" s="712"/>
      <c r="C1474" s="712"/>
      <c r="D1474" s="712"/>
      <c r="E1474" s="712"/>
    </row>
    <row r="1475" spans="1:5" ht="12.75">
      <c r="A1475" s="712"/>
      <c r="B1475" s="712"/>
      <c r="C1475" s="712"/>
      <c r="D1475" s="712"/>
      <c r="E1475" s="712"/>
    </row>
    <row r="1476" spans="1:5" ht="12.75">
      <c r="A1476" s="712"/>
      <c r="B1476" s="712"/>
      <c r="C1476" s="712"/>
      <c r="D1476" s="712"/>
      <c r="E1476" s="712"/>
    </row>
    <row r="1477" spans="1:5" ht="12.75">
      <c r="A1477" s="712"/>
      <c r="B1477" s="712"/>
      <c r="C1477" s="712"/>
      <c r="D1477" s="712"/>
      <c r="E1477" s="712"/>
    </row>
    <row r="1478" spans="1:5" ht="12.75">
      <c r="A1478" s="712"/>
      <c r="B1478" s="712"/>
      <c r="C1478" s="712"/>
      <c r="D1478" s="712"/>
      <c r="E1478" s="712"/>
    </row>
    <row r="1479" spans="1:5" ht="12.75">
      <c r="A1479" s="712"/>
      <c r="B1479" s="712"/>
      <c r="C1479" s="712"/>
      <c r="D1479" s="712"/>
      <c r="E1479" s="712"/>
    </row>
    <row r="1480" spans="1:5" ht="12.75">
      <c r="A1480" s="712"/>
      <c r="B1480" s="712"/>
      <c r="C1480" s="712"/>
      <c r="D1480" s="712"/>
      <c r="E1480" s="712"/>
    </row>
    <row r="1481" spans="1:5" ht="12.75">
      <c r="A1481" s="712"/>
      <c r="B1481" s="712"/>
      <c r="C1481" s="712"/>
      <c r="D1481" s="712"/>
      <c r="E1481" s="712"/>
    </row>
    <row r="1482" spans="1:5" ht="12.75">
      <c r="A1482" s="712"/>
      <c r="B1482" s="712"/>
      <c r="C1482" s="712"/>
      <c r="D1482" s="712"/>
      <c r="E1482" s="712"/>
    </row>
    <row r="1483" spans="1:5" ht="12.75">
      <c r="A1483" s="712"/>
      <c r="B1483" s="712"/>
      <c r="C1483" s="712"/>
      <c r="D1483" s="712"/>
      <c r="E1483" s="712"/>
    </row>
    <row r="1484" spans="1:5" ht="12.75">
      <c r="A1484" s="712"/>
      <c r="B1484" s="712"/>
      <c r="C1484" s="712"/>
      <c r="D1484" s="712"/>
      <c r="E1484" s="712"/>
    </row>
    <row r="1485" spans="1:5" ht="12.75">
      <c r="A1485" s="712"/>
      <c r="B1485" s="712"/>
      <c r="C1485" s="712"/>
      <c r="D1485" s="712"/>
      <c r="E1485" s="712"/>
    </row>
    <row r="1486" spans="1:5" ht="12.75">
      <c r="A1486" s="712"/>
      <c r="B1486" s="712"/>
      <c r="C1486" s="712"/>
      <c r="D1486" s="712"/>
      <c r="E1486" s="712"/>
    </row>
    <row r="1487" spans="1:5" ht="12.75">
      <c r="A1487" s="712"/>
      <c r="B1487" s="712"/>
      <c r="C1487" s="712"/>
      <c r="D1487" s="712"/>
      <c r="E1487" s="712"/>
    </row>
    <row r="1488" spans="1:5" ht="12.75">
      <c r="A1488" s="712"/>
      <c r="B1488" s="712"/>
      <c r="C1488" s="712"/>
      <c r="D1488" s="712"/>
      <c r="E1488" s="712"/>
    </row>
    <row r="1489" spans="1:5" ht="12.75">
      <c r="A1489" s="712"/>
      <c r="B1489" s="712"/>
      <c r="C1489" s="712"/>
      <c r="D1489" s="712"/>
      <c r="E1489" s="712"/>
    </row>
    <row r="1490" spans="1:5" ht="12.75">
      <c r="A1490" s="712"/>
      <c r="B1490" s="712"/>
      <c r="C1490" s="712"/>
      <c r="D1490" s="712"/>
      <c r="E1490" s="712"/>
    </row>
    <row r="1491" spans="1:5" ht="12.75">
      <c r="A1491" s="712"/>
      <c r="B1491" s="712"/>
      <c r="C1491" s="712"/>
      <c r="D1491" s="712"/>
      <c r="E1491" s="712"/>
    </row>
    <row r="1492" spans="1:5" ht="12.75">
      <c r="A1492" s="712"/>
      <c r="B1492" s="712"/>
      <c r="C1492" s="712"/>
      <c r="D1492" s="712"/>
      <c r="E1492" s="712"/>
    </row>
    <row r="1493" spans="1:5" ht="12.75">
      <c r="A1493" s="712"/>
      <c r="B1493" s="712"/>
      <c r="C1493" s="712"/>
      <c r="D1493" s="712"/>
      <c r="E1493" s="712"/>
    </row>
    <row r="1494" spans="1:5" ht="12.75">
      <c r="A1494" s="712"/>
      <c r="B1494" s="712"/>
      <c r="C1494" s="712"/>
      <c r="D1494" s="712"/>
      <c r="E1494" s="712"/>
    </row>
    <row r="1495" spans="1:5" ht="12.75">
      <c r="A1495" s="712"/>
      <c r="B1495" s="712"/>
      <c r="C1495" s="712"/>
      <c r="D1495" s="712"/>
      <c r="E1495" s="712"/>
    </row>
    <row r="1496" spans="1:5" ht="12.75">
      <c r="A1496" s="712"/>
      <c r="B1496" s="712"/>
      <c r="C1496" s="712"/>
      <c r="D1496" s="712"/>
      <c r="E1496" s="712"/>
    </row>
    <row r="1497" spans="1:5" ht="12.75">
      <c r="A1497" s="712"/>
      <c r="B1497" s="712"/>
      <c r="C1497" s="712"/>
      <c r="D1497" s="712"/>
      <c r="E1497" s="712"/>
    </row>
    <row r="1498" spans="1:5" ht="12.75">
      <c r="A1498" s="712"/>
      <c r="B1498" s="712"/>
      <c r="C1498" s="712"/>
      <c r="D1498" s="712"/>
      <c r="E1498" s="712"/>
    </row>
    <row r="1499" spans="1:5" ht="12.75">
      <c r="A1499" s="712"/>
      <c r="B1499" s="712"/>
      <c r="C1499" s="712"/>
      <c r="D1499" s="712"/>
      <c r="E1499" s="712"/>
    </row>
    <row r="1500" spans="1:5" ht="12.75">
      <c r="A1500" s="712"/>
      <c r="B1500" s="712"/>
      <c r="C1500" s="712"/>
      <c r="D1500" s="712"/>
      <c r="E1500" s="712"/>
    </row>
    <row r="1501" spans="1:5" ht="12.75">
      <c r="A1501" s="712"/>
      <c r="B1501" s="712"/>
      <c r="C1501" s="712"/>
      <c r="D1501" s="712"/>
      <c r="E1501" s="712"/>
    </row>
    <row r="1502" spans="1:5" ht="12.75">
      <c r="A1502" s="712"/>
      <c r="B1502" s="712"/>
      <c r="C1502" s="712"/>
      <c r="D1502" s="712"/>
      <c r="E1502" s="712"/>
    </row>
    <row r="1503" spans="1:5" ht="12.75">
      <c r="A1503" s="712"/>
      <c r="B1503" s="712"/>
      <c r="C1503" s="712"/>
      <c r="D1503" s="712"/>
      <c r="E1503" s="712"/>
    </row>
    <row r="1504" spans="1:5" ht="12.75">
      <c r="A1504" s="712"/>
      <c r="B1504" s="712"/>
      <c r="C1504" s="712"/>
      <c r="D1504" s="712"/>
      <c r="E1504" s="712"/>
    </row>
    <row r="1505" spans="1:5" ht="12.75">
      <c r="A1505" s="712"/>
      <c r="B1505" s="712"/>
      <c r="C1505" s="712"/>
      <c r="D1505" s="712"/>
      <c r="E1505" s="712"/>
    </row>
    <row r="1506" spans="1:5" ht="12.75">
      <c r="A1506" s="712"/>
      <c r="B1506" s="712"/>
      <c r="C1506" s="712"/>
      <c r="D1506" s="712"/>
      <c r="E1506" s="712"/>
    </row>
    <row r="1507" spans="1:5" ht="12.75">
      <c r="A1507" s="712"/>
      <c r="B1507" s="712"/>
      <c r="C1507" s="712"/>
      <c r="D1507" s="712"/>
      <c r="E1507" s="712"/>
    </row>
    <row r="1508" spans="1:5" ht="12.75">
      <c r="A1508" s="712"/>
      <c r="B1508" s="712"/>
      <c r="C1508" s="712"/>
      <c r="D1508" s="712"/>
      <c r="E1508" s="712"/>
    </row>
    <row r="1509" spans="1:5" ht="12.75">
      <c r="A1509" s="712"/>
      <c r="B1509" s="712"/>
      <c r="C1509" s="712"/>
      <c r="D1509" s="712"/>
      <c r="E1509" s="712"/>
    </row>
    <row r="1510" spans="1:5" ht="12.75">
      <c r="A1510" s="712"/>
      <c r="B1510" s="712"/>
      <c r="C1510" s="712"/>
      <c r="D1510" s="712"/>
      <c r="E1510" s="712"/>
    </row>
    <row r="1511" spans="1:5" ht="12.75">
      <c r="A1511" s="712"/>
      <c r="B1511" s="712"/>
      <c r="C1511" s="712"/>
      <c r="D1511" s="712"/>
      <c r="E1511" s="712"/>
    </row>
    <row r="1512" spans="1:5" ht="12.75">
      <c r="A1512" s="712"/>
      <c r="B1512" s="712"/>
      <c r="C1512" s="712"/>
      <c r="D1512" s="712"/>
      <c r="E1512" s="712"/>
    </row>
    <row r="1513" spans="1:5" ht="12.75">
      <c r="A1513" s="712"/>
      <c r="B1513" s="712"/>
      <c r="C1513" s="712"/>
      <c r="D1513" s="712"/>
      <c r="E1513" s="712"/>
    </row>
    <row r="1514" spans="1:5" ht="12.75">
      <c r="A1514" s="712"/>
      <c r="B1514" s="712"/>
      <c r="C1514" s="712"/>
      <c r="D1514" s="712"/>
      <c r="E1514" s="712"/>
    </row>
    <row r="1515" spans="1:5" ht="12.75">
      <c r="A1515" s="712"/>
      <c r="B1515" s="712"/>
      <c r="C1515" s="712"/>
      <c r="D1515" s="712"/>
      <c r="E1515" s="712"/>
    </row>
    <row r="1516" spans="1:5" ht="12.75">
      <c r="A1516" s="712"/>
      <c r="B1516" s="712"/>
      <c r="C1516" s="712"/>
      <c r="D1516" s="712"/>
      <c r="E1516" s="712"/>
    </row>
    <row r="1517" spans="1:5" ht="12.75">
      <c r="A1517" s="712"/>
      <c r="B1517" s="712"/>
      <c r="C1517" s="712"/>
      <c r="D1517" s="712"/>
      <c r="E1517" s="712"/>
    </row>
    <row r="1518" spans="1:5" ht="12.75">
      <c r="A1518" s="712"/>
      <c r="B1518" s="712"/>
      <c r="C1518" s="712"/>
      <c r="D1518" s="712"/>
      <c r="E1518" s="712"/>
    </row>
    <row r="1519" spans="1:5" ht="12.75">
      <c r="A1519" s="712"/>
      <c r="B1519" s="712"/>
      <c r="C1519" s="712"/>
      <c r="D1519" s="712"/>
      <c r="E1519" s="712"/>
    </row>
    <row r="1520" spans="1:5" ht="12.75">
      <c r="A1520" s="712"/>
      <c r="B1520" s="712"/>
      <c r="C1520" s="712"/>
      <c r="D1520" s="712"/>
      <c r="E1520" s="712"/>
    </row>
    <row r="1521" spans="1:5" ht="12.75">
      <c r="A1521" s="712"/>
      <c r="B1521" s="712"/>
      <c r="C1521" s="712"/>
      <c r="D1521" s="712"/>
      <c r="E1521" s="712"/>
    </row>
    <row r="1522" spans="1:5" ht="12.75">
      <c r="A1522" s="712"/>
      <c r="B1522" s="712"/>
      <c r="C1522" s="712"/>
      <c r="D1522" s="712"/>
      <c r="E1522" s="712"/>
    </row>
    <row r="1523" spans="1:5" ht="12.75">
      <c r="A1523" s="712"/>
      <c r="B1523" s="712"/>
      <c r="C1523" s="712"/>
      <c r="D1523" s="712"/>
      <c r="E1523" s="712"/>
    </row>
    <row r="1524" spans="1:5" ht="12.75">
      <c r="A1524" s="712"/>
      <c r="B1524" s="712"/>
      <c r="C1524" s="712"/>
      <c r="D1524" s="712"/>
      <c r="E1524" s="712"/>
    </row>
    <row r="1525" spans="1:5" ht="12.75">
      <c r="A1525" s="712"/>
      <c r="B1525" s="712"/>
      <c r="C1525" s="712"/>
      <c r="D1525" s="712"/>
      <c r="E1525" s="712"/>
    </row>
    <row r="1526" spans="1:5" ht="12.75">
      <c r="A1526" s="712"/>
      <c r="B1526" s="712"/>
      <c r="C1526" s="712"/>
      <c r="D1526" s="712"/>
      <c r="E1526" s="712"/>
    </row>
    <row r="1527" spans="1:5" ht="12.75">
      <c r="A1527" s="712"/>
      <c r="B1527" s="712"/>
      <c r="C1527" s="712"/>
      <c r="D1527" s="712"/>
      <c r="E1527" s="712"/>
    </row>
    <row r="1528" spans="1:5" ht="12.75">
      <c r="A1528" s="712"/>
      <c r="B1528" s="712"/>
      <c r="C1528" s="712"/>
      <c r="D1528" s="712"/>
      <c r="E1528" s="712"/>
    </row>
    <row r="1529" spans="1:5" ht="12.75">
      <c r="A1529" s="712"/>
      <c r="B1529" s="712"/>
      <c r="C1529" s="712"/>
      <c r="D1529" s="712"/>
      <c r="E1529" s="712"/>
    </row>
    <row r="1530" spans="1:5" ht="12.75">
      <c r="A1530" s="712"/>
      <c r="B1530" s="712"/>
      <c r="C1530" s="712"/>
      <c r="D1530" s="712"/>
      <c r="E1530" s="712"/>
    </row>
    <row r="1531" spans="1:5" ht="12.75">
      <c r="A1531" s="712"/>
      <c r="B1531" s="712"/>
      <c r="C1531" s="712"/>
      <c r="D1531" s="712"/>
      <c r="E1531" s="712"/>
    </row>
    <row r="1532" spans="1:5" ht="12.75">
      <c r="A1532" s="712"/>
      <c r="B1532" s="712"/>
      <c r="C1532" s="712"/>
      <c r="D1532" s="712"/>
      <c r="E1532" s="712"/>
    </row>
    <row r="1533" spans="1:5" ht="12.75">
      <c r="A1533" s="712"/>
      <c r="B1533" s="712"/>
      <c r="C1533" s="712"/>
      <c r="D1533" s="712"/>
      <c r="E1533" s="712"/>
    </row>
    <row r="1534" spans="1:5" ht="12.75">
      <c r="A1534" s="712"/>
      <c r="B1534" s="712"/>
      <c r="C1534" s="712"/>
      <c r="D1534" s="712"/>
      <c r="E1534" s="712"/>
    </row>
    <row r="1535" spans="1:5" ht="12.75">
      <c r="A1535" s="712"/>
      <c r="B1535" s="712"/>
      <c r="C1535" s="712"/>
      <c r="D1535" s="712"/>
      <c r="E1535" s="712"/>
    </row>
    <row r="1536" spans="1:5" ht="12.75">
      <c r="A1536" s="712"/>
      <c r="B1536" s="712"/>
      <c r="C1536" s="712"/>
      <c r="D1536" s="712"/>
      <c r="E1536" s="712"/>
    </row>
    <row r="1537" spans="1:5" ht="12.75">
      <c r="A1537" s="712"/>
      <c r="B1537" s="712"/>
      <c r="C1537" s="712"/>
      <c r="D1537" s="712"/>
      <c r="E1537" s="712"/>
    </row>
    <row r="1538" spans="1:5" ht="12.75">
      <c r="A1538" s="712"/>
      <c r="B1538" s="712"/>
      <c r="C1538" s="712"/>
      <c r="D1538" s="712"/>
      <c r="E1538" s="712"/>
    </row>
    <row r="1539" spans="1:5" ht="12.75">
      <c r="A1539" s="712"/>
      <c r="B1539" s="712"/>
      <c r="C1539" s="712"/>
      <c r="D1539" s="712"/>
      <c r="E1539" s="712"/>
    </row>
    <row r="1540" spans="1:5" ht="12.75">
      <c r="A1540" s="712"/>
      <c r="B1540" s="712"/>
      <c r="C1540" s="712"/>
      <c r="D1540" s="712"/>
      <c r="E1540" s="712"/>
    </row>
    <row r="1541" spans="1:5" ht="12.75">
      <c r="A1541" s="712"/>
      <c r="B1541" s="712"/>
      <c r="C1541" s="712"/>
      <c r="D1541" s="712"/>
      <c r="E1541" s="712"/>
    </row>
    <row r="1542" spans="1:5" ht="12.75">
      <c r="A1542" s="712"/>
      <c r="B1542" s="712"/>
      <c r="C1542" s="712"/>
      <c r="D1542" s="712"/>
      <c r="E1542" s="712"/>
    </row>
    <row r="1543" spans="1:5" ht="12.75">
      <c r="A1543" s="712"/>
      <c r="B1543" s="712"/>
      <c r="C1543" s="712"/>
      <c r="D1543" s="712"/>
      <c r="E1543" s="712"/>
    </row>
    <row r="1544" spans="1:5" ht="12.75">
      <c r="A1544" s="712"/>
      <c r="B1544" s="712"/>
      <c r="C1544" s="712"/>
      <c r="D1544" s="712"/>
      <c r="E1544" s="712"/>
    </row>
    <row r="1545" spans="1:5" ht="12.75">
      <c r="A1545" s="712"/>
      <c r="B1545" s="712"/>
      <c r="C1545" s="712"/>
      <c r="D1545" s="712"/>
      <c r="E1545" s="712"/>
    </row>
    <row r="1546" spans="1:5" ht="12.75">
      <c r="A1546" s="712"/>
      <c r="B1546" s="712"/>
      <c r="C1546" s="712"/>
      <c r="D1546" s="712"/>
      <c r="E1546" s="712"/>
    </row>
    <row r="1547" spans="1:5" ht="12.75">
      <c r="A1547" s="712"/>
      <c r="B1547" s="712"/>
      <c r="C1547" s="712"/>
      <c r="D1547" s="712"/>
      <c r="E1547" s="712"/>
    </row>
    <row r="1548" spans="1:5" ht="12.75">
      <c r="A1548" s="712"/>
      <c r="B1548" s="712"/>
      <c r="C1548" s="712"/>
      <c r="D1548" s="712"/>
      <c r="E1548" s="712"/>
    </row>
    <row r="1549" spans="1:5" ht="12.75">
      <c r="A1549" s="712"/>
      <c r="B1549" s="712"/>
      <c r="C1549" s="712"/>
      <c r="D1549" s="712"/>
      <c r="E1549" s="712"/>
    </row>
    <row r="1550" spans="1:5" ht="12.75">
      <c r="A1550" s="712"/>
      <c r="B1550" s="712"/>
      <c r="C1550" s="712"/>
      <c r="D1550" s="712"/>
      <c r="E1550" s="712"/>
    </row>
    <row r="1551" spans="1:5" ht="12.75">
      <c r="A1551" s="712"/>
      <c r="B1551" s="712"/>
      <c r="C1551" s="712"/>
      <c r="D1551" s="712"/>
      <c r="E1551" s="712"/>
    </row>
    <row r="1552" spans="1:5" ht="12.75">
      <c r="A1552" s="712"/>
      <c r="B1552" s="712"/>
      <c r="C1552" s="712"/>
      <c r="D1552" s="712"/>
      <c r="E1552" s="712"/>
    </row>
    <row r="1553" spans="1:5" ht="12.75">
      <c r="A1553" s="712"/>
      <c r="B1553" s="712"/>
      <c r="C1553" s="712"/>
      <c r="D1553" s="712"/>
      <c r="E1553" s="712"/>
    </row>
    <row r="1554" spans="1:5" ht="12.75">
      <c r="A1554" s="712"/>
      <c r="B1554" s="712"/>
      <c r="C1554" s="712"/>
      <c r="D1554" s="712"/>
      <c r="E1554" s="712"/>
    </row>
    <row r="1555" spans="1:5" ht="12.75">
      <c r="A1555" s="712"/>
      <c r="B1555" s="712"/>
      <c r="C1555" s="712"/>
      <c r="D1555" s="712"/>
      <c r="E1555" s="712"/>
    </row>
    <row r="1556" spans="1:5" ht="12.75">
      <c r="A1556" s="712"/>
      <c r="B1556" s="712"/>
      <c r="C1556" s="712"/>
      <c r="D1556" s="712"/>
      <c r="E1556" s="712"/>
    </row>
    <row r="1557" spans="1:5" ht="12.75">
      <c r="A1557" s="712"/>
      <c r="B1557" s="712"/>
      <c r="C1557" s="712"/>
      <c r="D1557" s="712"/>
      <c r="E1557" s="712"/>
    </row>
    <row r="1558" spans="1:5" ht="12.75">
      <c r="A1558" s="712"/>
      <c r="B1558" s="712"/>
      <c r="C1558" s="712"/>
      <c r="D1558" s="712"/>
      <c r="E1558" s="712"/>
    </row>
    <row r="1559" spans="1:5" ht="12.75">
      <c r="A1559" s="712"/>
      <c r="B1559" s="712"/>
      <c r="C1559" s="712"/>
      <c r="D1559" s="712"/>
      <c r="E1559" s="712"/>
    </row>
    <row r="1560" spans="1:5" ht="12.75">
      <c r="A1560" s="712"/>
      <c r="B1560" s="712"/>
      <c r="C1560" s="712"/>
      <c r="D1560" s="712"/>
      <c r="E1560" s="712"/>
    </row>
    <row r="1561" spans="1:5" ht="12.75">
      <c r="A1561" s="712"/>
      <c r="B1561" s="712"/>
      <c r="C1561" s="712"/>
      <c r="D1561" s="712"/>
      <c r="E1561" s="712"/>
    </row>
    <row r="1562" spans="1:5" ht="12.75">
      <c r="A1562" s="712"/>
      <c r="B1562" s="712"/>
      <c r="C1562" s="712"/>
      <c r="D1562" s="712"/>
      <c r="E1562" s="712"/>
    </row>
    <row r="1563" spans="1:5" ht="12.75">
      <c r="A1563" s="712"/>
      <c r="B1563" s="712"/>
      <c r="C1563" s="712"/>
      <c r="D1563" s="712"/>
      <c r="E1563" s="712"/>
    </row>
    <row r="1564" spans="1:5" ht="12.75">
      <c r="A1564" s="712"/>
      <c r="B1564" s="712"/>
      <c r="C1564" s="712"/>
      <c r="D1564" s="712"/>
      <c r="E1564" s="712"/>
    </row>
    <row r="1565" spans="1:5" ht="12.75">
      <c r="A1565" s="712"/>
      <c r="B1565" s="712"/>
      <c r="C1565" s="712"/>
      <c r="D1565" s="712"/>
      <c r="E1565" s="712"/>
    </row>
    <row r="1566" spans="1:5" ht="12.75">
      <c r="A1566" s="712"/>
      <c r="B1566" s="712"/>
      <c r="C1566" s="712"/>
      <c r="D1566" s="712"/>
      <c r="E1566" s="712"/>
    </row>
    <row r="1567" spans="1:5" ht="12.75">
      <c r="A1567" s="712"/>
      <c r="B1567" s="712"/>
      <c r="C1567" s="712"/>
      <c r="D1567" s="712"/>
      <c r="E1567" s="712"/>
    </row>
    <row r="1568" spans="1:5" ht="12.75">
      <c r="A1568" s="712"/>
      <c r="B1568" s="712"/>
      <c r="C1568" s="712"/>
      <c r="D1568" s="712"/>
      <c r="E1568" s="712"/>
    </row>
    <row r="1569" spans="1:5" ht="12.75">
      <c r="A1569" s="712"/>
      <c r="B1569" s="712"/>
      <c r="C1569" s="712"/>
      <c r="D1569" s="712"/>
      <c r="E1569" s="712"/>
    </row>
    <row r="1570" spans="1:5" ht="12.75">
      <c r="A1570" s="712"/>
      <c r="B1570" s="712"/>
      <c r="C1570" s="712"/>
      <c r="D1570" s="712"/>
      <c r="E1570" s="712"/>
    </row>
    <row r="1571" spans="1:5" ht="12.75">
      <c r="A1571" s="712"/>
      <c r="B1571" s="712"/>
      <c r="C1571" s="712"/>
      <c r="D1571" s="712"/>
      <c r="E1571" s="712"/>
    </row>
    <row r="1572" spans="1:5" ht="12.75">
      <c r="A1572" s="712"/>
      <c r="B1572" s="712"/>
      <c r="C1572" s="712"/>
      <c r="D1572" s="712"/>
      <c r="E1572" s="712"/>
    </row>
    <row r="1573" spans="1:5" ht="12.75">
      <c r="A1573" s="712"/>
      <c r="B1573" s="712"/>
      <c r="C1573" s="712"/>
      <c r="D1573" s="712"/>
      <c r="E1573" s="712"/>
    </row>
    <row r="1574" spans="1:5" ht="12.75">
      <c r="A1574" s="712"/>
      <c r="B1574" s="712"/>
      <c r="C1574" s="712"/>
      <c r="D1574" s="712"/>
      <c r="E1574" s="712"/>
    </row>
    <row r="1575" spans="1:5" ht="12.75">
      <c r="A1575" s="712"/>
      <c r="B1575" s="712"/>
      <c r="C1575" s="712"/>
      <c r="D1575" s="712"/>
      <c r="E1575" s="712"/>
    </row>
    <row r="1576" spans="1:5" ht="12.75">
      <c r="A1576" s="712"/>
      <c r="B1576" s="712"/>
      <c r="C1576" s="712"/>
      <c r="D1576" s="712"/>
      <c r="E1576" s="712"/>
    </row>
    <row r="1577" spans="1:5" ht="12.75">
      <c r="A1577" s="712"/>
      <c r="B1577" s="712"/>
      <c r="C1577" s="712"/>
      <c r="D1577" s="712"/>
      <c r="E1577" s="712"/>
    </row>
    <row r="1578" spans="1:5" ht="12.75">
      <c r="A1578" s="712"/>
      <c r="B1578" s="712"/>
      <c r="C1578" s="712"/>
      <c r="D1578" s="712"/>
      <c r="E1578" s="712"/>
    </row>
    <row r="1579" spans="1:5" ht="12.75">
      <c r="A1579" s="712"/>
      <c r="B1579" s="712"/>
      <c r="C1579" s="712"/>
      <c r="D1579" s="712"/>
      <c r="E1579" s="712"/>
    </row>
    <row r="1580" spans="1:5" ht="12.75">
      <c r="A1580" s="712"/>
      <c r="B1580" s="712"/>
      <c r="C1580" s="712"/>
      <c r="D1580" s="712"/>
      <c r="E1580" s="712"/>
    </row>
    <row r="1581" spans="1:5" ht="12.75">
      <c r="A1581" s="712"/>
      <c r="B1581" s="712"/>
      <c r="C1581" s="712"/>
      <c r="D1581" s="712"/>
      <c r="E1581" s="712"/>
    </row>
    <row r="1582" spans="1:5" ht="12.75">
      <c r="A1582" s="712"/>
      <c r="B1582" s="712"/>
      <c r="C1582" s="712"/>
      <c r="D1582" s="712"/>
      <c r="E1582" s="712"/>
    </row>
    <row r="1583" spans="1:5" ht="12.75">
      <c r="A1583" s="712"/>
      <c r="B1583" s="712"/>
      <c r="C1583" s="712"/>
      <c r="D1583" s="712"/>
      <c r="E1583" s="712"/>
    </row>
    <row r="1584" spans="1:5" ht="12.75">
      <c r="A1584" s="712"/>
      <c r="B1584" s="712"/>
      <c r="C1584" s="712"/>
      <c r="D1584" s="712"/>
      <c r="E1584" s="712"/>
    </row>
    <row r="1585" spans="1:5" ht="12.75">
      <c r="A1585" s="712"/>
      <c r="B1585" s="712"/>
      <c r="C1585" s="712"/>
      <c r="D1585" s="712"/>
      <c r="E1585" s="712"/>
    </row>
    <row r="1586" spans="1:5" ht="12.75">
      <c r="A1586" s="712"/>
      <c r="B1586" s="712"/>
      <c r="C1586" s="712"/>
      <c r="D1586" s="712"/>
      <c r="E1586" s="712"/>
    </row>
    <row r="1587" spans="1:5" ht="12.75">
      <c r="A1587" s="712"/>
      <c r="B1587" s="712"/>
      <c r="C1587" s="712"/>
      <c r="D1587" s="712"/>
      <c r="E1587" s="712"/>
    </row>
    <row r="1588" spans="1:5" ht="12.75">
      <c r="A1588" s="712"/>
      <c r="B1588" s="712"/>
      <c r="C1588" s="712"/>
      <c r="D1588" s="712"/>
      <c r="E1588" s="712"/>
    </row>
    <row r="1589" spans="1:5" ht="12.75">
      <c r="A1589" s="712"/>
      <c r="B1589" s="712"/>
      <c r="C1589" s="712"/>
      <c r="D1589" s="712"/>
      <c r="E1589" s="712"/>
    </row>
    <row r="1590" spans="1:5" ht="12.75">
      <c r="A1590" s="712"/>
      <c r="B1590" s="712"/>
      <c r="C1590" s="712"/>
      <c r="D1590" s="712"/>
      <c r="E1590" s="712"/>
    </row>
    <row r="1591" spans="1:5" ht="12.75">
      <c r="A1591" s="712"/>
      <c r="B1591" s="712"/>
      <c r="C1591" s="712"/>
      <c r="D1591" s="712"/>
      <c r="E1591" s="712"/>
    </row>
    <row r="1592" spans="1:5" ht="12.75">
      <c r="A1592" s="712"/>
      <c r="B1592" s="712"/>
      <c r="C1592" s="712"/>
      <c r="D1592" s="712"/>
      <c r="E1592" s="712"/>
    </row>
    <row r="1593" spans="1:5" ht="12.75">
      <c r="A1593" s="712"/>
      <c r="B1593" s="712"/>
      <c r="C1593" s="712"/>
      <c r="D1593" s="712"/>
      <c r="E1593" s="712"/>
    </row>
    <row r="1594" spans="1:5" ht="12.75">
      <c r="A1594" s="712"/>
      <c r="B1594" s="712"/>
      <c r="C1594" s="712"/>
      <c r="D1594" s="712"/>
      <c r="E1594" s="712"/>
    </row>
    <row r="1595" spans="1:5" ht="12.75">
      <c r="A1595" s="712"/>
      <c r="B1595" s="712"/>
      <c r="C1595" s="712"/>
      <c r="D1595" s="712"/>
      <c r="E1595" s="712"/>
    </row>
    <row r="1596" spans="1:5" ht="12.75">
      <c r="A1596" s="712"/>
      <c r="B1596" s="712"/>
      <c r="C1596" s="712"/>
      <c r="D1596" s="712"/>
      <c r="E1596" s="712"/>
    </row>
    <row r="1597" spans="1:5" ht="12.75">
      <c r="A1597" s="712"/>
      <c r="B1597" s="712"/>
      <c r="C1597" s="712"/>
      <c r="D1597" s="712"/>
      <c r="E1597" s="712"/>
    </row>
    <row r="1598" spans="1:5" ht="12.75">
      <c r="A1598" s="712"/>
      <c r="B1598" s="712"/>
      <c r="C1598" s="712"/>
      <c r="D1598" s="712"/>
      <c r="E1598" s="712"/>
    </row>
    <row r="1599" spans="1:5" ht="12.75">
      <c r="A1599" s="712"/>
      <c r="B1599" s="712"/>
      <c r="C1599" s="712"/>
      <c r="D1599" s="712"/>
      <c r="E1599" s="712"/>
    </row>
    <row r="1600" spans="1:5" ht="12.75">
      <c r="A1600" s="712"/>
      <c r="B1600" s="712"/>
      <c r="C1600" s="712"/>
      <c r="D1600" s="712"/>
      <c r="E1600" s="712"/>
    </row>
    <row r="1601" spans="1:5" ht="12.75">
      <c r="A1601" s="712"/>
      <c r="B1601" s="712"/>
      <c r="C1601" s="712"/>
      <c r="D1601" s="712"/>
      <c r="E1601" s="712"/>
    </row>
    <row r="1602" spans="1:5" ht="12.75">
      <c r="A1602" s="712"/>
      <c r="B1602" s="712"/>
      <c r="C1602" s="712"/>
      <c r="D1602" s="712"/>
      <c r="E1602" s="712"/>
    </row>
    <row r="1603" spans="1:5" ht="12.75">
      <c r="A1603" s="712"/>
      <c r="B1603" s="712"/>
      <c r="C1603" s="712"/>
      <c r="D1603" s="712"/>
      <c r="E1603" s="712"/>
    </row>
    <row r="1604" spans="1:5" ht="12.75">
      <c r="A1604" s="712"/>
      <c r="B1604" s="712"/>
      <c r="C1604" s="712"/>
      <c r="D1604" s="712"/>
      <c r="E1604" s="712"/>
    </row>
    <row r="1605" spans="1:5" ht="12.75">
      <c r="A1605" s="712"/>
      <c r="B1605" s="712"/>
      <c r="C1605" s="712"/>
      <c r="D1605" s="712"/>
      <c r="E1605" s="712"/>
    </row>
    <row r="1606" spans="1:5" ht="12.75">
      <c r="A1606" s="712"/>
      <c r="B1606" s="712"/>
      <c r="C1606" s="712"/>
      <c r="D1606" s="712"/>
      <c r="E1606" s="712"/>
    </row>
    <row r="1607" spans="1:5" ht="12.75">
      <c r="A1607" s="712"/>
      <c r="B1607" s="712"/>
      <c r="C1607" s="712"/>
      <c r="D1607" s="712"/>
      <c r="E1607" s="712"/>
    </row>
    <row r="1608" spans="1:5" ht="12.75">
      <c r="A1608" s="712"/>
      <c r="B1608" s="712"/>
      <c r="C1608" s="712"/>
      <c r="D1608" s="712"/>
      <c r="E1608" s="712"/>
    </row>
    <row r="1609" spans="1:5" ht="12.75">
      <c r="A1609" s="712"/>
      <c r="B1609" s="712"/>
      <c r="C1609" s="712"/>
      <c r="D1609" s="712"/>
      <c r="E1609" s="712"/>
    </row>
    <row r="1610" spans="1:5" ht="12.75">
      <c r="A1610" s="712"/>
      <c r="B1610" s="712"/>
      <c r="C1610" s="712"/>
      <c r="D1610" s="712"/>
      <c r="E1610" s="712"/>
    </row>
    <row r="1611" spans="1:5" ht="12.75">
      <c r="A1611" s="712"/>
      <c r="B1611" s="712"/>
      <c r="C1611" s="712"/>
      <c r="D1611" s="712"/>
      <c r="E1611" s="712"/>
    </row>
    <row r="1612" spans="1:5" ht="12.75">
      <c r="A1612" s="712"/>
      <c r="B1612" s="712"/>
      <c r="C1612" s="712"/>
      <c r="D1612" s="712"/>
      <c r="E1612" s="712"/>
    </row>
    <row r="1613" spans="1:5" ht="12.75">
      <c r="A1613" s="712"/>
      <c r="B1613" s="712"/>
      <c r="C1613" s="712"/>
      <c r="D1613" s="712"/>
      <c r="E1613" s="712"/>
    </row>
    <row r="1614" spans="1:5" ht="12.75">
      <c r="A1614" s="712"/>
      <c r="B1614" s="712"/>
      <c r="C1614" s="712"/>
      <c r="D1614" s="712"/>
      <c r="E1614" s="712"/>
    </row>
    <row r="1615" spans="1:5" ht="12.75">
      <c r="A1615" s="712"/>
      <c r="B1615" s="712"/>
      <c r="C1615" s="712"/>
      <c r="D1615" s="712"/>
      <c r="E1615" s="712"/>
    </row>
    <row r="1616" spans="1:5" ht="12.75">
      <c r="A1616" s="712"/>
      <c r="B1616" s="712"/>
      <c r="C1616" s="712"/>
      <c r="D1616" s="712"/>
      <c r="E1616" s="712"/>
    </row>
    <row r="1617" spans="1:5" ht="12.75">
      <c r="A1617" s="712"/>
      <c r="B1617" s="712"/>
      <c r="C1617" s="712"/>
      <c r="D1617" s="712"/>
      <c r="E1617" s="712"/>
    </row>
    <row r="1618" spans="1:5" ht="12.75">
      <c r="A1618" s="712"/>
      <c r="B1618" s="712"/>
      <c r="C1618" s="712"/>
      <c r="D1618" s="712"/>
      <c r="E1618" s="712"/>
    </row>
    <row r="1619" spans="1:5" ht="12.75">
      <c r="A1619" s="712"/>
      <c r="B1619" s="712"/>
      <c r="C1619" s="712"/>
      <c r="D1619" s="712"/>
      <c r="E1619" s="712"/>
    </row>
    <row r="1620" spans="1:5" ht="12.75">
      <c r="A1620" s="712"/>
      <c r="B1620" s="712"/>
      <c r="C1620" s="712"/>
      <c r="D1620" s="712"/>
      <c r="E1620" s="712"/>
    </row>
    <row r="1621" spans="1:5" ht="12.75">
      <c r="A1621" s="712"/>
      <c r="B1621" s="712"/>
      <c r="C1621" s="712"/>
      <c r="D1621" s="712"/>
      <c r="E1621" s="712"/>
    </row>
    <row r="1622" spans="1:5" ht="12.75">
      <c r="A1622" s="712"/>
      <c r="B1622" s="712"/>
      <c r="C1622" s="712"/>
      <c r="D1622" s="712"/>
      <c r="E1622" s="712"/>
    </row>
    <row r="1623" spans="1:5" ht="12.75">
      <c r="A1623" s="712"/>
      <c r="B1623" s="712"/>
      <c r="C1623" s="712"/>
      <c r="D1623" s="712"/>
      <c r="E1623" s="712"/>
    </row>
    <row r="1624" spans="1:5" ht="12.75">
      <c r="A1624" s="712"/>
      <c r="B1624" s="712"/>
      <c r="C1624" s="712"/>
      <c r="D1624" s="712"/>
      <c r="E1624" s="712"/>
    </row>
    <row r="1625" spans="1:5" ht="12.75">
      <c r="A1625" s="712"/>
      <c r="B1625" s="712"/>
      <c r="C1625" s="712"/>
      <c r="D1625" s="712"/>
      <c r="E1625" s="712"/>
    </row>
    <row r="1626" spans="1:5" ht="12.75">
      <c r="A1626" s="712"/>
      <c r="B1626" s="712"/>
      <c r="C1626" s="712"/>
      <c r="D1626" s="712"/>
      <c r="E1626" s="712"/>
    </row>
    <row r="1627" spans="1:5" ht="12.75">
      <c r="A1627" s="712"/>
      <c r="B1627" s="712"/>
      <c r="C1627" s="712"/>
      <c r="D1627" s="712"/>
      <c r="E1627" s="712"/>
    </row>
  </sheetData>
  <sheetProtection password="CF3C" sheet="1" objects="1" scenarios="1"/>
  <mergeCells count="2">
    <mergeCell ref="J28:K28"/>
    <mergeCell ref="J21:K21"/>
  </mergeCells>
  <printOptions horizontalCentered="1"/>
  <pageMargins left="0.7874015748031497" right="0.3937007874015748" top="0.7086614173228347" bottom="0.7086614173228347" header="0.46" footer="0.5118110236220472"/>
  <pageSetup fitToHeight="1" fitToWidth="1" horizontalDpi="300" verticalDpi="300" orientation="portrait" paperSize="9" scale="61" r:id="rId2"/>
  <headerFooter alignWithMargins="0">
    <oddHeader>&amp;R&amp;"Verdana,Negrita"&amp;8TAMBO 2006&amp;"Verdana,Normal" - Modelo de Análisis: Tambo, Invernada y Agricultura</oddHeader>
    <oddFooter>&amp;C&amp;"Arial,Cursiva"&amp;10Administración  de Organizaciones - Facultad de Ciencias Agrarias - UNL</oddFooter>
  </headerFooter>
  <drawing r:id="rId1"/>
</worksheet>
</file>

<file path=xl/worksheets/sheet6.xml><?xml version="1.0" encoding="utf-8"?>
<worksheet xmlns="http://schemas.openxmlformats.org/spreadsheetml/2006/main" xmlns:r="http://schemas.openxmlformats.org/officeDocument/2006/relationships">
  <sheetPr codeName="Hoja6">
    <pageSetUpPr fitToPage="1"/>
  </sheetPr>
  <dimension ref="A1:AQ260"/>
  <sheetViews>
    <sheetView showGridLines="0" zoomScalePageLayoutView="0" workbookViewId="0" topLeftCell="A1">
      <selection activeCell="A20" sqref="A20"/>
    </sheetView>
  </sheetViews>
  <sheetFormatPr defaultColWidth="11.19921875" defaultRowHeight="15" customHeight="1"/>
  <cols>
    <col min="1" max="1" width="1.59765625" style="434" customWidth="1"/>
    <col min="2" max="2" width="31.59765625" style="434" customWidth="1"/>
    <col min="3" max="3" width="14.09765625" style="434" customWidth="1"/>
    <col min="4" max="11" width="11.59765625" style="434" customWidth="1"/>
    <col min="12" max="12" width="45.09765625" style="434" customWidth="1"/>
    <col min="13" max="13" width="18.796875" style="434" customWidth="1"/>
    <col min="14" max="19" width="11.59765625" style="434" customWidth="1"/>
    <col min="20" max="20" width="37.8984375" style="434" customWidth="1"/>
    <col min="21" max="21" width="15.3984375" style="434" customWidth="1"/>
    <col min="22" max="22" width="11.59765625" style="434" customWidth="1"/>
    <col min="23" max="23" width="8.8984375" style="434" customWidth="1"/>
    <col min="24" max="24" width="11.59765625" style="434" customWidth="1"/>
    <col min="25" max="25" width="22.796875" style="434" customWidth="1"/>
    <col min="26" max="26" width="28.296875" style="434" customWidth="1"/>
    <col min="27" max="27" width="19.296875" style="434" customWidth="1"/>
    <col min="28" max="28" width="11.3984375" style="434" customWidth="1"/>
    <col min="29" max="16384" width="11.59765625" style="434" customWidth="1"/>
  </cols>
  <sheetData>
    <row r="1" spans="2:43" ht="15" customHeight="1">
      <c r="B1" s="558" t="s">
        <v>698</v>
      </c>
      <c r="L1" s="559" t="s">
        <v>699</v>
      </c>
      <c r="M1" s="529"/>
      <c r="N1" s="529"/>
      <c r="O1" s="529"/>
      <c r="T1" s="559" t="s">
        <v>700</v>
      </c>
      <c r="U1" s="529"/>
      <c r="V1" s="529"/>
      <c r="W1" s="529"/>
      <c r="Z1" s="559" t="s">
        <v>701</v>
      </c>
      <c r="AL1" s="1208"/>
      <c r="AM1" s="1208"/>
      <c r="AN1" s="1208"/>
      <c r="AO1" s="1208"/>
      <c r="AP1" s="1208"/>
      <c r="AQ1" s="1208"/>
    </row>
    <row r="2" spans="2:43" ht="15" customHeight="1">
      <c r="B2" s="560" t="s">
        <v>702</v>
      </c>
      <c r="C2" s="928" t="str">
        <f>+'Información General'!B3</f>
        <v>xxxxxxxxxxx</v>
      </c>
      <c r="D2" s="481"/>
      <c r="E2" s="481"/>
      <c r="F2" s="481"/>
      <c r="AL2" s="1208"/>
      <c r="AM2" s="1208"/>
      <c r="AN2" s="1208"/>
      <c r="AO2" s="1208"/>
      <c r="AP2" s="1208"/>
      <c r="AQ2" s="1208"/>
    </row>
    <row r="3" spans="2:43" ht="15" customHeight="1">
      <c r="B3" s="561" t="s">
        <v>703</v>
      </c>
      <c r="C3" s="562"/>
      <c r="D3" s="562"/>
      <c r="E3" s="562"/>
      <c r="F3" s="481"/>
      <c r="L3" s="563" t="s">
        <v>177</v>
      </c>
      <c r="M3" s="564" t="s">
        <v>704</v>
      </c>
      <c r="N3" s="1401">
        <f>+'VII. Impresión'!DL8</f>
        <v>0</v>
      </c>
      <c r="O3" s="565"/>
      <c r="T3" s="566" t="s">
        <v>705</v>
      </c>
      <c r="U3" s="567"/>
      <c r="V3" s="567"/>
      <c r="W3" s="568"/>
      <c r="Z3" s="566" t="s">
        <v>706</v>
      </c>
      <c r="AA3" s="569"/>
      <c r="AB3" s="567"/>
      <c r="AC3" s="568"/>
      <c r="AL3" s="1208"/>
      <c r="AM3" s="1208"/>
      <c r="AN3" s="1208"/>
      <c r="AO3" s="1208"/>
      <c r="AP3" s="1208"/>
      <c r="AQ3" s="1208"/>
    </row>
    <row r="4" spans="2:43" ht="15" customHeight="1">
      <c r="B4" s="566" t="s">
        <v>707</v>
      </c>
      <c r="C4" s="567"/>
      <c r="D4" s="569" t="s">
        <v>708</v>
      </c>
      <c r="E4" s="570" t="s">
        <v>419</v>
      </c>
      <c r="F4" s="481"/>
      <c r="L4" s="571" t="s">
        <v>178</v>
      </c>
      <c r="M4" s="492" t="s">
        <v>704</v>
      </c>
      <c r="N4" s="481">
        <f>+'VII. Impresión'!DL14</f>
        <v>0</v>
      </c>
      <c r="O4" s="422"/>
      <c r="T4" s="572" t="s">
        <v>709</v>
      </c>
      <c r="U4" s="477"/>
      <c r="V4" s="477"/>
      <c r="W4" s="423"/>
      <c r="Z4" s="572" t="s">
        <v>710</v>
      </c>
      <c r="AA4" s="573"/>
      <c r="AB4" s="477"/>
      <c r="AC4" s="423"/>
      <c r="AL4" s="1208"/>
      <c r="AM4" s="1208"/>
      <c r="AN4" s="1208"/>
      <c r="AO4" s="1208"/>
      <c r="AP4" s="1208"/>
      <c r="AQ4" s="1208"/>
    </row>
    <row r="5" spans="2:43" ht="15" customHeight="1">
      <c r="B5" s="571" t="s">
        <v>152</v>
      </c>
      <c r="C5" s="481"/>
      <c r="D5" s="481">
        <f>'VII. Impresión'!AN57</f>
        <v>0</v>
      </c>
      <c r="E5" s="574">
        <f>IF($D$9=0,0,D5/$D$9)</f>
        <v>0</v>
      </c>
      <c r="F5" s="481"/>
      <c r="L5" s="571" t="s">
        <v>179</v>
      </c>
      <c r="M5" s="492" t="s">
        <v>711</v>
      </c>
      <c r="N5" s="481">
        <f>+'VII. Impresión'!DL9</f>
        <v>0</v>
      </c>
      <c r="O5" s="422"/>
      <c r="T5" s="572" t="s">
        <v>712</v>
      </c>
      <c r="U5" s="477" t="s">
        <v>50</v>
      </c>
      <c r="V5" s="477" t="s">
        <v>50</v>
      </c>
      <c r="W5" s="423"/>
      <c r="Z5" s="575" t="s">
        <v>713</v>
      </c>
      <c r="AA5" s="492"/>
      <c r="AB5" s="481"/>
      <c r="AC5" s="422"/>
      <c r="AL5" s="1208"/>
      <c r="AM5" s="1208"/>
      <c r="AN5" s="1208"/>
      <c r="AO5" s="1208"/>
      <c r="AP5" s="1208"/>
      <c r="AQ5" s="1208"/>
    </row>
    <row r="6" spans="2:43" ht="15" customHeight="1">
      <c r="B6" s="571" t="s">
        <v>153</v>
      </c>
      <c r="C6" s="481"/>
      <c r="D6" s="481">
        <f>'VII. Impresión'!AN58</f>
        <v>0</v>
      </c>
      <c r="E6" s="574">
        <f>IF($D$9=0,0,D6/$D$9)</f>
        <v>0</v>
      </c>
      <c r="F6" s="481"/>
      <c r="L6" s="571" t="s">
        <v>180</v>
      </c>
      <c r="M6" s="492" t="s">
        <v>714</v>
      </c>
      <c r="N6" s="481">
        <f>+'II. Datos  Ganaderos'!E8</f>
        <v>0</v>
      </c>
      <c r="O6" s="422"/>
      <c r="T6" s="571" t="s">
        <v>215</v>
      </c>
      <c r="U6" s="492"/>
      <c r="V6" s="556">
        <f>+IF('VII. Impresión'!$DC$4=0,0,(('VII. Impresión'!Q9+'VII. Impresión'!Q69)/'VII. Impresión'!$DC$4))</f>
        <v>0</v>
      </c>
      <c r="W6" s="422"/>
      <c r="Z6" s="571" t="s">
        <v>279</v>
      </c>
      <c r="AA6" s="492" t="s">
        <v>715</v>
      </c>
      <c r="AB6" s="424">
        <f>+IF(D27=0,0,(N3/D27))</f>
        <v>0</v>
      </c>
      <c r="AC6" s="422"/>
      <c r="AL6" s="1208"/>
      <c r="AM6" s="1208"/>
      <c r="AN6" s="1208"/>
      <c r="AO6" s="1208"/>
      <c r="AP6" s="1208"/>
      <c r="AQ6" s="1208"/>
    </row>
    <row r="7" spans="2:43" ht="15" customHeight="1">
      <c r="B7" s="571" t="s">
        <v>154</v>
      </c>
      <c r="C7" s="481"/>
      <c r="D7" s="481">
        <f>'VII. Impresión'!AN59</f>
        <v>0</v>
      </c>
      <c r="E7" s="574">
        <f>IF($D$9=0,0,D7/$D$9)</f>
        <v>0</v>
      </c>
      <c r="F7" s="481"/>
      <c r="L7" s="571" t="s">
        <v>181</v>
      </c>
      <c r="M7" s="492" t="s">
        <v>449</v>
      </c>
      <c r="N7" s="481">
        <f>+'VII. Impresión'!DL6</f>
        <v>0</v>
      </c>
      <c r="O7" s="422"/>
      <c r="T7" s="571" t="s">
        <v>216</v>
      </c>
      <c r="U7" s="492"/>
      <c r="V7" s="556">
        <f>+IF('VII. Impresión'!$DC$4=0,0,(('VII. Impresión'!Q10+'VII. Impresión'!Q70)/'VII. Impresión'!$DC$4))</f>
        <v>0</v>
      </c>
      <c r="W7" s="422"/>
      <c r="Z7" s="571" t="s">
        <v>279</v>
      </c>
      <c r="AA7" s="492" t="s">
        <v>716</v>
      </c>
      <c r="AB7" s="481">
        <f>IF('VII. Impresión'!$DC$14=0,0,+'VII. Impresión'!$DL$9/'VII. Impresión'!$DC$14)</f>
        <v>0</v>
      </c>
      <c r="AC7" s="422"/>
      <c r="AL7" s="1208"/>
      <c r="AM7" s="1208"/>
      <c r="AN7" s="1208"/>
      <c r="AO7" s="1208"/>
      <c r="AP7" s="1208"/>
      <c r="AQ7" s="1208"/>
    </row>
    <row r="8" spans="2:43" ht="15" customHeight="1">
      <c r="B8" s="571" t="s">
        <v>155</v>
      </c>
      <c r="C8" s="481"/>
      <c r="D8" s="481">
        <f>'VII. Impresión'!AN60</f>
        <v>0</v>
      </c>
      <c r="E8" s="574">
        <f>IF($D$9=0,0,D8/$D$9)</f>
        <v>0</v>
      </c>
      <c r="F8" s="481"/>
      <c r="L8" s="571" t="s">
        <v>182</v>
      </c>
      <c r="M8" s="492" t="s">
        <v>449</v>
      </c>
      <c r="N8" s="481">
        <f>+'VII. Impresión'!DN3</f>
        <v>0</v>
      </c>
      <c r="O8" s="422"/>
      <c r="T8" s="571" t="s">
        <v>217</v>
      </c>
      <c r="U8" s="492"/>
      <c r="V8" s="556">
        <f>+IF('VII. Impresión'!$DC$4=0,0,(('VII. Impresión'!Q11+'VII. Impresión'!Q71)/'VII. Impresión'!$DC$4))</f>
        <v>0</v>
      </c>
      <c r="W8" s="422"/>
      <c r="Z8" s="571" t="s">
        <v>279</v>
      </c>
      <c r="AA8" s="492" t="s">
        <v>717</v>
      </c>
      <c r="AB8" s="481">
        <f>IF('VII. Impresión'!DC13=0,0,+'VII. Impresión'!$DL$9/'VII. Impresión'!DC13)</f>
        <v>0</v>
      </c>
      <c r="AC8" s="422"/>
      <c r="AL8" s="1208"/>
      <c r="AM8" s="1208"/>
      <c r="AN8" s="1208"/>
      <c r="AO8" s="1208"/>
      <c r="AP8" s="1208"/>
      <c r="AQ8" s="1208"/>
    </row>
    <row r="9" spans="2:43" ht="15" customHeight="1">
      <c r="B9" s="571"/>
      <c r="C9" s="481" t="s">
        <v>718</v>
      </c>
      <c r="D9" s="481">
        <f>'VII. Impresión'!AN61</f>
        <v>0</v>
      </c>
      <c r="E9" s="574">
        <f>IF($D$9=0,0,D9/$D$9)</f>
        <v>0</v>
      </c>
      <c r="F9" s="481"/>
      <c r="L9" s="571" t="s">
        <v>183</v>
      </c>
      <c r="M9" s="492" t="s">
        <v>449</v>
      </c>
      <c r="N9" s="481">
        <f>+'VII. Impresión'!DN4</f>
        <v>0</v>
      </c>
      <c r="O9" s="422"/>
      <c r="T9" s="571" t="s">
        <v>218</v>
      </c>
      <c r="U9" s="492"/>
      <c r="V9" s="556">
        <f>+IF('VII. Impresión'!$DC$4=0,0,(('VII. Impresión'!Q12+'VII. Impresión'!Q72)/'VII. Impresión'!$DC$4))</f>
        <v>0</v>
      </c>
      <c r="W9" s="422"/>
      <c r="Z9" s="571" t="s">
        <v>279</v>
      </c>
      <c r="AA9" s="492" t="s">
        <v>719</v>
      </c>
      <c r="AB9" s="434">
        <f>+'VII. Impresión'!DL18</f>
        <v>0</v>
      </c>
      <c r="AC9" s="422"/>
      <c r="AL9" s="1208"/>
      <c r="AM9" s="1208"/>
      <c r="AN9" s="1208"/>
      <c r="AO9" s="1208"/>
      <c r="AP9" s="1208"/>
      <c r="AQ9" s="1208"/>
    </row>
    <row r="10" spans="2:43" ht="15" customHeight="1">
      <c r="B10" s="571" t="s">
        <v>156</v>
      </c>
      <c r="C10" s="481"/>
      <c r="D10" s="481">
        <f>'VII. Impresión'!AM61</f>
        <v>0</v>
      </c>
      <c r="E10" s="422"/>
      <c r="F10" s="481"/>
      <c r="L10" s="571" t="s">
        <v>184</v>
      </c>
      <c r="M10" s="492" t="s">
        <v>449</v>
      </c>
      <c r="N10" s="481">
        <f>+'VII. Impresión'!DN5</f>
        <v>0</v>
      </c>
      <c r="O10" s="422"/>
      <c r="T10" s="571" t="s">
        <v>219</v>
      </c>
      <c r="U10" s="492"/>
      <c r="V10" s="556">
        <f>+IF('VII. Impresión'!$DC$4=0,0,(('VII. Impresión'!Q13+'VII. Impresión'!Q73)/'VII. Impresión'!$DC$4))</f>
        <v>0</v>
      </c>
      <c r="W10" s="422"/>
      <c r="Z10" s="571" t="s">
        <v>279</v>
      </c>
      <c r="AA10" s="492" t="s">
        <v>720</v>
      </c>
      <c r="AB10" s="481">
        <f>+'VII. Impresión'!DL7</f>
        <v>0</v>
      </c>
      <c r="AC10" s="422"/>
      <c r="AL10" s="1208"/>
      <c r="AM10" s="1208"/>
      <c r="AN10" s="1208"/>
      <c r="AO10" s="1208"/>
      <c r="AP10" s="1208"/>
      <c r="AQ10" s="1208"/>
    </row>
    <row r="11" spans="2:43" ht="15" customHeight="1">
      <c r="B11" s="571" t="s">
        <v>157</v>
      </c>
      <c r="C11" s="481"/>
      <c r="D11" s="481">
        <f>'VII. Impresión'!AN63</f>
        <v>0</v>
      </c>
      <c r="E11" s="422"/>
      <c r="F11" s="481"/>
      <c r="L11" s="571" t="s">
        <v>185</v>
      </c>
      <c r="M11" s="492" t="s">
        <v>7</v>
      </c>
      <c r="N11" s="481">
        <f>+'VII. Impresión'!AO21</f>
        <v>0</v>
      </c>
      <c r="O11" s="422"/>
      <c r="T11" s="571" t="s">
        <v>220</v>
      </c>
      <c r="U11" s="492"/>
      <c r="V11" s="556">
        <f>+IF('VII. Impresión'!$DC$4=0,0,(('VII. Impresión'!Q14+'VII. Impresión'!Q74)/'VII. Impresión'!$DC$4))</f>
        <v>0</v>
      </c>
      <c r="W11" s="422"/>
      <c r="Z11" s="571" t="s">
        <v>280</v>
      </c>
      <c r="AA11" s="492" t="s">
        <v>721</v>
      </c>
      <c r="AB11" s="424">
        <f>IF(W50=0,0,+'VII. Impresión'!DN5/W50)</f>
        <v>0</v>
      </c>
      <c r="AC11" s="422"/>
      <c r="AL11" s="1208"/>
      <c r="AM11" s="1208"/>
      <c r="AN11" s="1208"/>
      <c r="AO11" s="1208"/>
      <c r="AP11" s="1208"/>
      <c r="AQ11" s="1208"/>
    </row>
    <row r="12" spans="2:43" ht="15" customHeight="1">
      <c r="B12" s="571" t="str">
        <f>+'VII. Impresión'!DA5</f>
        <v>Valor de la Tierra con mejoras ($/ha)</v>
      </c>
      <c r="C12" s="577"/>
      <c r="D12" s="481">
        <f>+'VII. Impresión'!DC5</f>
        <v>0</v>
      </c>
      <c r="E12" s="422"/>
      <c r="F12" s="481"/>
      <c r="L12" s="571" t="s">
        <v>186</v>
      </c>
      <c r="M12" s="492" t="s">
        <v>7</v>
      </c>
      <c r="N12" s="481">
        <f>+'VII. Impresión'!AN5+'VII. Impresión'!AN6+'VII. Impresión'!AN4</f>
        <v>0</v>
      </c>
      <c r="O12" s="422"/>
      <c r="T12" s="571" t="str">
        <f>+'VII. Impresión'!DA8</f>
        <v>Receptividad</v>
      </c>
      <c r="U12" s="492" t="str">
        <f>+'VII. Impresión'!DB8</f>
        <v>EV/ha</v>
      </c>
      <c r="V12" s="576">
        <f>+'VII. Impresión'!DC8</f>
        <v>0</v>
      </c>
      <c r="W12" s="422"/>
      <c r="Z12" s="571" t="s">
        <v>280</v>
      </c>
      <c r="AA12" s="492" t="s">
        <v>722</v>
      </c>
      <c r="AB12" s="481">
        <f>+'VII. Impresión'!DN6</f>
        <v>0</v>
      </c>
      <c r="AC12" s="422"/>
      <c r="AL12" s="1208"/>
      <c r="AM12" s="1208"/>
      <c r="AN12" s="1208"/>
      <c r="AO12" s="1208"/>
      <c r="AP12" s="1208"/>
      <c r="AQ12" s="1208"/>
    </row>
    <row r="13" spans="2:43" ht="15" customHeight="1">
      <c r="B13" s="566" t="s">
        <v>723</v>
      </c>
      <c r="C13" s="567"/>
      <c r="D13" s="567"/>
      <c r="E13" s="568"/>
      <c r="F13" s="481"/>
      <c r="L13" s="571" t="s">
        <v>187</v>
      </c>
      <c r="M13" s="492" t="s">
        <v>7</v>
      </c>
      <c r="N13" s="481">
        <f>'VII. Impresión'!AN8+'VII. Impresión'!AN9</f>
        <v>0</v>
      </c>
      <c r="O13" s="422"/>
      <c r="T13" s="575" t="s">
        <v>98</v>
      </c>
      <c r="U13" s="492"/>
      <c r="V13" s="481"/>
      <c r="W13" s="422"/>
      <c r="Z13" s="575" t="s">
        <v>724</v>
      </c>
      <c r="AA13" s="492"/>
      <c r="AB13" s="481"/>
      <c r="AC13" s="422"/>
      <c r="AL13" s="1208"/>
      <c r="AM13" s="1208"/>
      <c r="AN13" s="1208"/>
      <c r="AO13" s="1208"/>
      <c r="AP13" s="1208"/>
      <c r="AQ13" s="1208"/>
    </row>
    <row r="14" spans="2:43" ht="15" customHeight="1">
      <c r="B14" s="571" t="s">
        <v>158</v>
      </c>
      <c r="C14" s="492" t="s">
        <v>725</v>
      </c>
      <c r="D14" s="481">
        <f>+'Información General'!D18</f>
        <v>0</v>
      </c>
      <c r="E14" s="422"/>
      <c r="F14" s="481"/>
      <c r="L14" s="571" t="s">
        <v>188</v>
      </c>
      <c r="M14" s="492" t="s">
        <v>7</v>
      </c>
      <c r="N14" s="481">
        <f>+'VII. Impresión'!AO10</f>
        <v>0</v>
      </c>
      <c r="O14" s="422"/>
      <c r="T14" s="571" t="s">
        <v>221</v>
      </c>
      <c r="U14" s="492"/>
      <c r="V14" s="556">
        <f>+IF('VII. Impresión'!DC12=0,0,('VII. Impresión'!Q9/'VII. Impresión'!DC12))</f>
        <v>0</v>
      </c>
      <c r="W14" s="422"/>
      <c r="Z14" s="571" t="s">
        <v>726</v>
      </c>
      <c r="AA14" s="492"/>
      <c r="AB14" s="481"/>
      <c r="AC14" s="422"/>
      <c r="AL14" s="1208"/>
      <c r="AM14" s="1208"/>
      <c r="AN14" s="1208"/>
      <c r="AO14" s="1208"/>
      <c r="AP14" s="1208"/>
      <c r="AQ14" s="1208"/>
    </row>
    <row r="15" spans="2:43" ht="15" customHeight="1">
      <c r="B15" s="571" t="s">
        <v>159</v>
      </c>
      <c r="C15" s="492" t="s">
        <v>725</v>
      </c>
      <c r="D15" s="481">
        <f>'Información General'!D20</f>
        <v>0</v>
      </c>
      <c r="E15" s="422"/>
      <c r="F15" s="481"/>
      <c r="L15" s="571" t="s">
        <v>189</v>
      </c>
      <c r="M15" s="492" t="s">
        <v>7</v>
      </c>
      <c r="N15" s="481">
        <f>+'VII. Impresión'!AO23</f>
        <v>0</v>
      </c>
      <c r="O15" s="422"/>
      <c r="T15" s="571" t="s">
        <v>222</v>
      </c>
      <c r="U15" s="492" t="s">
        <v>727</v>
      </c>
      <c r="V15" s="454">
        <f>IF('VII. Impresión'!DC12=0,0,('II. Datos  Ganaderos'!S25)/'VII. Impresión'!DC12)</f>
        <v>0</v>
      </c>
      <c r="W15" s="422"/>
      <c r="Z15" s="579" t="str">
        <f>'VII. Impresión'!CS4</f>
        <v>XXX</v>
      </c>
      <c r="AA15" s="492" t="s">
        <v>728</v>
      </c>
      <c r="AB15" s="578">
        <f>'VII. Impresión'!CV4</f>
        <v>0</v>
      </c>
      <c r="AC15" s="422"/>
      <c r="AL15" s="1208"/>
      <c r="AM15" s="1208"/>
      <c r="AN15" s="1208"/>
      <c r="AO15" s="1208"/>
      <c r="AP15" s="1208"/>
      <c r="AQ15" s="1208"/>
    </row>
    <row r="16" spans="2:43" ht="15" customHeight="1">
      <c r="B16" s="571" t="s">
        <v>160</v>
      </c>
      <c r="C16" s="492" t="s">
        <v>725</v>
      </c>
      <c r="D16" s="481">
        <f>+D15+D14</f>
        <v>0</v>
      </c>
      <c r="E16" s="422"/>
      <c r="F16" s="481"/>
      <c r="L16" s="571" t="s">
        <v>190</v>
      </c>
      <c r="M16" s="492" t="s">
        <v>7</v>
      </c>
      <c r="N16" s="481">
        <f>'VII. Impresión'!AO24</f>
        <v>0</v>
      </c>
      <c r="O16" s="422"/>
      <c r="T16" s="571" t="s">
        <v>223</v>
      </c>
      <c r="U16" s="492" t="s">
        <v>727</v>
      </c>
      <c r="V16" s="578">
        <f>'VII. Impresión'!DC15</f>
        <v>0</v>
      </c>
      <c r="W16" s="422"/>
      <c r="Z16" s="579" t="str">
        <f>'VII. Impresión'!CS5</f>
        <v>XXX</v>
      </c>
      <c r="AA16" s="492" t="s">
        <v>728</v>
      </c>
      <c r="AB16" s="578">
        <f>'VII. Impresión'!CV5</f>
        <v>0</v>
      </c>
      <c r="AC16" s="422"/>
      <c r="AL16" s="1208"/>
      <c r="AM16" s="1208"/>
      <c r="AN16" s="1208"/>
      <c r="AO16" s="1208"/>
      <c r="AP16" s="1208"/>
      <c r="AQ16" s="1208"/>
    </row>
    <row r="17" spans="2:43" ht="15" customHeight="1">
      <c r="B17" s="571" t="s">
        <v>161</v>
      </c>
      <c r="C17" s="492" t="s">
        <v>725</v>
      </c>
      <c r="D17" s="481">
        <f>+'VII. Impresión'!DC3</f>
        <v>0</v>
      </c>
      <c r="E17" s="422"/>
      <c r="F17" s="481"/>
      <c r="L17" s="571" t="s">
        <v>191</v>
      </c>
      <c r="M17" s="492" t="s">
        <v>7</v>
      </c>
      <c r="N17" s="481">
        <f>'VII. Impresión'!AO25</f>
        <v>0</v>
      </c>
      <c r="O17" s="422"/>
      <c r="T17" s="571" t="s">
        <v>223</v>
      </c>
      <c r="U17" s="492" t="s">
        <v>729</v>
      </c>
      <c r="V17" s="578">
        <f>IF(D26=0,0,+D33/D26)</f>
        <v>0</v>
      </c>
      <c r="W17" s="422"/>
      <c r="Z17" s="579" t="str">
        <f>'VII. Impresión'!CS6</f>
        <v>XXX</v>
      </c>
      <c r="AA17" s="492" t="s">
        <v>728</v>
      </c>
      <c r="AB17" s="578">
        <f>'VII. Impresión'!CV6</f>
        <v>0</v>
      </c>
      <c r="AC17" s="422"/>
      <c r="AL17" s="1208"/>
      <c r="AM17" s="1208"/>
      <c r="AN17" s="1208"/>
      <c r="AO17" s="1208"/>
      <c r="AP17" s="1208"/>
      <c r="AQ17" s="1208"/>
    </row>
    <row r="18" spans="2:29" ht="15" customHeight="1">
      <c r="B18" s="571" t="s">
        <v>162</v>
      </c>
      <c r="C18" s="492" t="s">
        <v>725</v>
      </c>
      <c r="D18" s="481">
        <f>+'VII. Impresión'!DC4</f>
        <v>0</v>
      </c>
      <c r="E18" s="422"/>
      <c r="F18" s="481"/>
      <c r="L18" s="571" t="s">
        <v>192</v>
      </c>
      <c r="M18" s="492" t="s">
        <v>7</v>
      </c>
      <c r="N18" s="481">
        <f>'VII. Impresión'!AI27</f>
        <v>0</v>
      </c>
      <c r="O18" s="422"/>
      <c r="T18" s="571" t="s">
        <v>223</v>
      </c>
      <c r="U18" s="492" t="s">
        <v>730</v>
      </c>
      <c r="V18" s="578">
        <f>IF(D27=0,0,+D33/D27)</f>
        <v>0</v>
      </c>
      <c r="W18" s="422"/>
      <c r="Z18" s="579" t="str">
        <f>'VII. Impresión'!CS7</f>
        <v>XXX</v>
      </c>
      <c r="AA18" s="492" t="s">
        <v>728</v>
      </c>
      <c r="AB18" s="578">
        <f>'VII. Impresión'!CV7</f>
        <v>0</v>
      </c>
      <c r="AC18" s="422"/>
    </row>
    <row r="19" spans="2:29" ht="15" customHeight="1">
      <c r="B19" s="571" t="s">
        <v>163</v>
      </c>
      <c r="C19" s="492" t="s">
        <v>725</v>
      </c>
      <c r="D19" s="481">
        <f>+'VII. Impresión'!Q9+'VII. Impresión'!Q69</f>
        <v>0</v>
      </c>
      <c r="E19" s="422"/>
      <c r="F19" s="481"/>
      <c r="L19" s="571" t="s">
        <v>193</v>
      </c>
      <c r="M19" s="492" t="s">
        <v>7</v>
      </c>
      <c r="N19" s="481">
        <f>'VII. Impresión'!AN44</f>
        <v>0</v>
      </c>
      <c r="O19" s="422"/>
      <c r="T19" s="571" t="s">
        <v>224</v>
      </c>
      <c r="U19" s="492" t="s">
        <v>419</v>
      </c>
      <c r="V19" s="556">
        <f>'VII. Impresión'!DC16</f>
        <v>0</v>
      </c>
      <c r="W19" s="422"/>
      <c r="Z19" s="579" t="str">
        <f>'VII. Impresión'!CS8</f>
        <v>XXX</v>
      </c>
      <c r="AA19" s="492" t="s">
        <v>728</v>
      </c>
      <c r="AB19" s="578">
        <f>'VII. Impresión'!CV8</f>
        <v>0</v>
      </c>
      <c r="AC19" s="422"/>
    </row>
    <row r="20" spans="2:29" ht="15" customHeight="1">
      <c r="B20" s="571" t="s">
        <v>164</v>
      </c>
      <c r="C20" s="492" t="s">
        <v>725</v>
      </c>
      <c r="D20" s="481">
        <f>+'VII. Impresión'!Q70+'VII. Impresión'!Q10</f>
        <v>0</v>
      </c>
      <c r="E20" s="422"/>
      <c r="F20" s="481"/>
      <c r="L20" s="571" t="str">
        <f>+'VII. Impresión'!AK62</f>
        <v>Intereses sobre Activos</v>
      </c>
      <c r="M20" s="492" t="s">
        <v>7</v>
      </c>
      <c r="N20" s="481">
        <f>+'VII. Impresión'!AN62</f>
        <v>0</v>
      </c>
      <c r="O20" s="422"/>
      <c r="T20" s="571" t="s">
        <v>225</v>
      </c>
      <c r="U20" s="492" t="s">
        <v>419</v>
      </c>
      <c r="V20" s="556">
        <f>+'VII. Impresión'!DC17</f>
        <v>0</v>
      </c>
      <c r="W20" s="422"/>
      <c r="Z20" s="579" t="str">
        <f>'VII. Impresión'!CS9</f>
        <v>XXX</v>
      </c>
      <c r="AA20" s="492" t="s">
        <v>728</v>
      </c>
      <c r="AB20" s="578">
        <f>'VII. Impresión'!CV9</f>
        <v>0</v>
      </c>
      <c r="AC20" s="422"/>
    </row>
    <row r="21" spans="2:29" ht="15" customHeight="1">
      <c r="B21" s="571" t="s">
        <v>165</v>
      </c>
      <c r="C21" s="492" t="s">
        <v>725</v>
      </c>
      <c r="D21" s="481">
        <f>+'VII. Impresión'!Q11+'VII. Impresión'!Q71</f>
        <v>0</v>
      </c>
      <c r="E21" s="422"/>
      <c r="F21" s="481"/>
      <c r="L21" s="580" t="s">
        <v>731</v>
      </c>
      <c r="M21" s="581" t="s">
        <v>732</v>
      </c>
      <c r="N21" s="582">
        <f>'Información General'!AC63</f>
        <v>0</v>
      </c>
      <c r="O21" s="583"/>
      <c r="T21" s="571" t="s">
        <v>226</v>
      </c>
      <c r="U21" s="492" t="s">
        <v>419</v>
      </c>
      <c r="V21" s="556">
        <f>+'VII. Impresión'!DC18</f>
        <v>0</v>
      </c>
      <c r="W21" s="422"/>
      <c r="Z21" s="579" t="str">
        <f>'VII. Impresión'!CS10</f>
        <v>XXX</v>
      </c>
      <c r="AA21" s="492" t="s">
        <v>728</v>
      </c>
      <c r="AB21" s="578">
        <f>'VII. Impresión'!CV10</f>
        <v>0</v>
      </c>
      <c r="AC21" s="422"/>
    </row>
    <row r="22" spans="2:29" ht="15" customHeight="1">
      <c r="B22" s="571" t="s">
        <v>166</v>
      </c>
      <c r="C22" s="502" t="s">
        <v>725</v>
      </c>
      <c r="D22" s="434">
        <f>+'VII. Impresión'!Q72+'VII. Impresión'!Q12</f>
        <v>0</v>
      </c>
      <c r="E22" s="422"/>
      <c r="F22" s="481"/>
      <c r="T22" s="571" t="s">
        <v>227</v>
      </c>
      <c r="U22" s="492" t="s">
        <v>419</v>
      </c>
      <c r="V22" s="556">
        <f>+'VII. Impresión'!DC19</f>
        <v>0</v>
      </c>
      <c r="W22" s="422"/>
      <c r="Z22" s="579" t="str">
        <f>'VII. Impresión'!CS11</f>
        <v>XXX</v>
      </c>
      <c r="AA22" s="492" t="s">
        <v>728</v>
      </c>
      <c r="AB22" s="578">
        <f>'VII. Impresión'!CV11</f>
        <v>0</v>
      </c>
      <c r="AC22" s="422"/>
    </row>
    <row r="23" spans="2:29" ht="15" customHeight="1">
      <c r="B23" s="571" t="s">
        <v>149</v>
      </c>
      <c r="C23" s="492" t="s">
        <v>725</v>
      </c>
      <c r="D23" s="481">
        <f>+'VII. Impresión'!Q13+'VII. Impresión'!Q73</f>
        <v>0</v>
      </c>
      <c r="E23" s="422"/>
      <c r="F23" s="481"/>
      <c r="T23" s="571" t="s">
        <v>228</v>
      </c>
      <c r="U23" s="492" t="s">
        <v>419</v>
      </c>
      <c r="V23" s="556">
        <f>+'VII. Impresión'!DC20</f>
        <v>0</v>
      </c>
      <c r="W23" s="422"/>
      <c r="Z23" s="579" t="str">
        <f>'VII. Impresión'!CS12</f>
        <v>XXX</v>
      </c>
      <c r="AA23" s="492" t="s">
        <v>728</v>
      </c>
      <c r="AB23" s="578">
        <f>'VII. Impresión'!CV12</f>
        <v>0</v>
      </c>
      <c r="AC23" s="422"/>
    </row>
    <row r="24" spans="2:29" ht="15" customHeight="1">
      <c r="B24" s="571" t="s">
        <v>150</v>
      </c>
      <c r="C24" s="492" t="s">
        <v>725</v>
      </c>
      <c r="D24" s="481">
        <f>+'VII. Impresión'!Q74+'VII. Impresión'!Q14</f>
        <v>0</v>
      </c>
      <c r="E24" s="422"/>
      <c r="F24" s="481"/>
      <c r="T24" s="571" t="s">
        <v>229</v>
      </c>
      <c r="U24" s="492" t="s">
        <v>419</v>
      </c>
      <c r="V24" s="556">
        <f>+'VII. Impresión'!DC21</f>
        <v>0</v>
      </c>
      <c r="W24" s="422" t="s">
        <v>733</v>
      </c>
      <c r="Z24" s="572" t="s">
        <v>734</v>
      </c>
      <c r="AA24" s="573"/>
      <c r="AB24" s="477"/>
      <c r="AC24" s="423"/>
    </row>
    <row r="25" spans="2:29" ht="15" customHeight="1">
      <c r="B25" s="584" t="s">
        <v>151</v>
      </c>
      <c r="C25" s="492" t="s">
        <v>725</v>
      </c>
      <c r="D25" s="585">
        <v>0</v>
      </c>
      <c r="E25" s="422"/>
      <c r="F25" s="481"/>
      <c r="T25" s="571" t="s">
        <v>230</v>
      </c>
      <c r="U25" s="492" t="s">
        <v>308</v>
      </c>
      <c r="V25" s="549">
        <f>+'VII. Impresión'!DC22</f>
        <v>0</v>
      </c>
      <c r="W25" s="422"/>
      <c r="Z25" s="571" t="s">
        <v>281</v>
      </c>
      <c r="AA25" s="492" t="s">
        <v>735</v>
      </c>
      <c r="AB25" s="578">
        <f>IF('VII. Impresión'!AO22=0,0,'VII. Impresión'!AO21/'VII. Impresión'!AO22)</f>
        <v>0</v>
      </c>
      <c r="AC25" s="422"/>
    </row>
    <row r="26" spans="2:29" ht="15" customHeight="1">
      <c r="B26" s="571" t="s">
        <v>167</v>
      </c>
      <c r="C26" s="492" t="s">
        <v>725</v>
      </c>
      <c r="D26" s="481">
        <f>+'VII. Impresión'!DC12</f>
        <v>0</v>
      </c>
      <c r="E26" s="422"/>
      <c r="T26" s="571" t="s">
        <v>231</v>
      </c>
      <c r="U26" s="492" t="s">
        <v>317</v>
      </c>
      <c r="V26" s="549">
        <f>+'VII. Impresión'!DC23</f>
        <v>0</v>
      </c>
      <c r="W26" s="422"/>
      <c r="Z26" s="571" t="s">
        <v>736</v>
      </c>
      <c r="AA26" s="492"/>
      <c r="AB26" s="481"/>
      <c r="AC26" s="422"/>
    </row>
    <row r="27" spans="2:29" ht="15" customHeight="1">
      <c r="B27" s="571" t="s">
        <v>168</v>
      </c>
      <c r="C27" s="492" t="s">
        <v>725</v>
      </c>
      <c r="D27" s="481">
        <f>+'VII. Impresión'!DC13</f>
        <v>0</v>
      </c>
      <c r="E27" s="422"/>
      <c r="F27" s="481"/>
      <c r="T27" s="571" t="s">
        <v>232</v>
      </c>
      <c r="U27" s="492" t="s">
        <v>308</v>
      </c>
      <c r="V27" s="549">
        <f>+'VII. Impresión'!DC37</f>
        <v>0</v>
      </c>
      <c r="W27" s="422"/>
      <c r="Z27" s="571" t="s">
        <v>282</v>
      </c>
      <c r="AA27" s="492" t="s">
        <v>737</v>
      </c>
      <c r="AB27" s="424">
        <f>+'VII. Impresión'!CV18</f>
        <v>0</v>
      </c>
      <c r="AC27" s="422"/>
    </row>
    <row r="28" spans="2:29" ht="15" customHeight="1">
      <c r="B28" s="571" t="s">
        <v>169</v>
      </c>
      <c r="C28" s="492" t="s">
        <v>725</v>
      </c>
      <c r="D28" s="434">
        <f>+'VII. Impresión'!DF12</f>
        <v>0</v>
      </c>
      <c r="E28" s="422"/>
      <c r="F28" s="481"/>
      <c r="T28" s="580" t="s">
        <v>233</v>
      </c>
      <c r="U28" s="581" t="s">
        <v>738</v>
      </c>
      <c r="V28" s="586">
        <f>+'VII. Impresión'!DC38</f>
        <v>0</v>
      </c>
      <c r="W28" s="583"/>
      <c r="Z28" s="571" t="s">
        <v>283</v>
      </c>
      <c r="AA28" s="492" t="s">
        <v>739</v>
      </c>
      <c r="AB28" s="424">
        <f>+'VII. Impresión'!CV19</f>
        <v>0</v>
      </c>
      <c r="AC28" s="422"/>
    </row>
    <row r="29" spans="2:29" ht="15" customHeight="1">
      <c r="B29" s="571" t="s">
        <v>170</v>
      </c>
      <c r="C29" s="492" t="s">
        <v>725</v>
      </c>
      <c r="D29" s="434">
        <f>+'VII. Impresión'!DC3</f>
        <v>0</v>
      </c>
      <c r="E29" s="422"/>
      <c r="F29" s="481"/>
      <c r="T29" s="571" t="s">
        <v>234</v>
      </c>
      <c r="U29" s="492" t="s">
        <v>740</v>
      </c>
      <c r="V29" s="424">
        <f>IF(D33=0,0,+N3/D33)</f>
        <v>0</v>
      </c>
      <c r="W29" s="565"/>
      <c r="Z29" s="571" t="s">
        <v>284</v>
      </c>
      <c r="AA29" s="492" t="s">
        <v>741</v>
      </c>
      <c r="AB29" s="424">
        <f>+'VII. Impresión'!CV20</f>
        <v>0</v>
      </c>
      <c r="AC29" s="422"/>
    </row>
    <row r="30" spans="2:29" ht="15" customHeight="1">
      <c r="B30" s="571" t="s">
        <v>171</v>
      </c>
      <c r="C30" s="492" t="s">
        <v>471</v>
      </c>
      <c r="D30" s="481">
        <f>+'II. Datos  Ganaderos'!AO59</f>
        <v>0</v>
      </c>
      <c r="E30" s="422"/>
      <c r="F30" s="481"/>
      <c r="T30" s="571" t="s">
        <v>234</v>
      </c>
      <c r="U30" s="492" t="s">
        <v>742</v>
      </c>
      <c r="V30" s="424">
        <f>+'VII. Impresión'!DL16</f>
        <v>0</v>
      </c>
      <c r="W30" s="422"/>
      <c r="Z30" s="571" t="s">
        <v>285</v>
      </c>
      <c r="AA30" s="492" t="s">
        <v>743</v>
      </c>
      <c r="AB30" s="424">
        <f>+'VII. Impresión'!CV21</f>
        <v>0</v>
      </c>
      <c r="AC30" s="422"/>
    </row>
    <row r="31" spans="2:29" ht="15" customHeight="1">
      <c r="B31" s="571" t="s">
        <v>171</v>
      </c>
      <c r="C31" s="492" t="s">
        <v>708</v>
      </c>
      <c r="D31" s="481">
        <f>+'VII. Impresión'!D19</f>
        <v>0</v>
      </c>
      <c r="E31" s="422"/>
      <c r="T31" s="571" t="s">
        <v>234</v>
      </c>
      <c r="U31" s="492" t="s">
        <v>744</v>
      </c>
      <c r="V31" s="578">
        <f>+'VII. Impresión'!DL11</f>
        <v>0</v>
      </c>
      <c r="W31" s="422"/>
      <c r="Z31" s="571" t="s">
        <v>286</v>
      </c>
      <c r="AA31" s="492" t="s">
        <v>745</v>
      </c>
      <c r="AB31" s="424">
        <f>+'VII. Impresión'!CV22</f>
        <v>0</v>
      </c>
      <c r="AC31" s="422"/>
    </row>
    <row r="32" spans="2:29" ht="15" customHeight="1">
      <c r="B32" s="571" t="s">
        <v>171</v>
      </c>
      <c r="C32" s="492" t="s">
        <v>746</v>
      </c>
      <c r="D32" s="481">
        <f>+'II. Datos  Ganaderos'!AN59</f>
        <v>0</v>
      </c>
      <c r="E32" s="422"/>
      <c r="F32" s="481"/>
      <c r="T32" s="571" t="s">
        <v>234</v>
      </c>
      <c r="U32" s="492" t="s">
        <v>747</v>
      </c>
      <c r="V32" s="578">
        <f>+'VII. Impresión'!DL12</f>
        <v>0</v>
      </c>
      <c r="W32" s="422"/>
      <c r="Z32" s="571" t="s">
        <v>287</v>
      </c>
      <c r="AA32" s="492" t="s">
        <v>748</v>
      </c>
      <c r="AB32" s="424">
        <f>+'VII. Impresión'!CV23</f>
        <v>0</v>
      </c>
      <c r="AC32" s="422"/>
    </row>
    <row r="33" spans="2:29" ht="15" customHeight="1">
      <c r="B33" s="571" t="s">
        <v>172</v>
      </c>
      <c r="C33" s="492" t="s">
        <v>749</v>
      </c>
      <c r="D33" s="700">
        <f>+'VII. Impresión'!DC14</f>
        <v>0</v>
      </c>
      <c r="E33" s="422"/>
      <c r="F33" s="481"/>
      <c r="T33" s="571" t="s">
        <v>234</v>
      </c>
      <c r="U33" s="492" t="s">
        <v>750</v>
      </c>
      <c r="V33" s="424">
        <f>+'VII. Impresión'!DL10</f>
        <v>0</v>
      </c>
      <c r="W33" s="422"/>
      <c r="Z33" s="571" t="s">
        <v>288</v>
      </c>
      <c r="AA33" s="492" t="s">
        <v>751</v>
      </c>
      <c r="AB33" s="424">
        <f>+'VII. Impresión'!CV24</f>
        <v>0</v>
      </c>
      <c r="AC33" s="422"/>
    </row>
    <row r="34" spans="2:29" ht="15" customHeight="1">
      <c r="B34" s="571" t="s">
        <v>173</v>
      </c>
      <c r="C34" s="492" t="s">
        <v>746</v>
      </c>
      <c r="D34" s="481">
        <f>+'VII. Impresión'!DF15+'VII. Impresión'!DF16</f>
        <v>0</v>
      </c>
      <c r="E34" s="422"/>
      <c r="F34" s="481"/>
      <c r="T34" s="571" t="s">
        <v>235</v>
      </c>
      <c r="U34" s="492" t="s">
        <v>752</v>
      </c>
      <c r="V34" s="424">
        <f>+'VII. Impresión'!DL13</f>
        <v>0</v>
      </c>
      <c r="W34" s="422"/>
      <c r="Z34" s="571" t="s">
        <v>289</v>
      </c>
      <c r="AA34" s="492" t="s">
        <v>753</v>
      </c>
      <c r="AB34" s="424">
        <f>+'VII. Impresión'!CV25</f>
        <v>0</v>
      </c>
      <c r="AC34" s="422"/>
    </row>
    <row r="35" spans="2:29" ht="15" customHeight="1">
      <c r="B35" s="571" t="s">
        <v>174</v>
      </c>
      <c r="C35" s="492" t="s">
        <v>754</v>
      </c>
      <c r="D35" s="481">
        <f>'Información General'!X11</f>
        <v>0</v>
      </c>
      <c r="E35" s="422"/>
      <c r="F35" s="481"/>
      <c r="T35" s="571" t="s">
        <v>236</v>
      </c>
      <c r="U35" s="492" t="s">
        <v>755</v>
      </c>
      <c r="V35" s="597">
        <f>+'II. Datos  Ganaderos'!C7</f>
        <v>0</v>
      </c>
      <c r="W35" s="422"/>
      <c r="Z35" s="571" t="s">
        <v>290</v>
      </c>
      <c r="AA35" s="492" t="s">
        <v>756</v>
      </c>
      <c r="AB35" s="424">
        <f>+'VII. Impresión'!CV26</f>
        <v>0</v>
      </c>
      <c r="AC35" s="422"/>
    </row>
    <row r="36" spans="2:29" ht="15" customHeight="1">
      <c r="B36" s="571" t="s">
        <v>175</v>
      </c>
      <c r="C36" s="492" t="s">
        <v>557</v>
      </c>
      <c r="D36" s="578">
        <f>+'Información General'!F56</f>
        <v>0</v>
      </c>
      <c r="E36" s="422"/>
      <c r="F36" s="481"/>
      <c r="T36" s="571" t="s">
        <v>237</v>
      </c>
      <c r="U36" s="492" t="s">
        <v>346</v>
      </c>
      <c r="V36" s="597">
        <f>+'II. Datos  Ganaderos'!C8</f>
        <v>0</v>
      </c>
      <c r="W36" s="422"/>
      <c r="Z36" s="571" t="s">
        <v>291</v>
      </c>
      <c r="AA36" s="492" t="s">
        <v>757</v>
      </c>
      <c r="AB36" s="481">
        <f>IF(D33=0,0,+('VII. Impresión'!AN5+'VII. Impresión'!AN6+'VII. Impresión'!AN4)/D33)</f>
        <v>0</v>
      </c>
      <c r="AC36" s="422"/>
    </row>
    <row r="37" spans="2:29" ht="15" customHeight="1">
      <c r="B37" s="571" t="s">
        <v>176</v>
      </c>
      <c r="C37" s="492" t="s">
        <v>557</v>
      </c>
      <c r="D37" s="578">
        <f>+'Información General'!D64</f>
        <v>0</v>
      </c>
      <c r="E37" s="422"/>
      <c r="T37" s="571" t="s">
        <v>238</v>
      </c>
      <c r="U37" s="492" t="s">
        <v>758</v>
      </c>
      <c r="V37" s="578">
        <f>+'VII. Impresión'!DL23</f>
        <v>0</v>
      </c>
      <c r="W37" s="422"/>
      <c r="Z37" s="580" t="s">
        <v>292</v>
      </c>
      <c r="AA37" s="581" t="s">
        <v>759</v>
      </c>
      <c r="AB37" s="577">
        <f>IF('VII. Impresión'!E17=0,0,+('VII. Impresión'!AN8+'VII. Impresión'!AN9)/'VII. Impresión'!E17)</f>
        <v>0</v>
      </c>
      <c r="AC37" s="583"/>
    </row>
    <row r="38" spans="2:23" ht="15" customHeight="1">
      <c r="B38" s="571" t="s">
        <v>1181</v>
      </c>
      <c r="C38" s="492" t="s">
        <v>557</v>
      </c>
      <c r="D38" s="578">
        <f>+('II. Datos  Ganaderos'!AD109+'II. Datos  Ganaderos'!AD110+'II. Datos  Ganaderos'!AD107)</f>
        <v>0</v>
      </c>
      <c r="E38" s="422"/>
      <c r="T38" s="571" t="s">
        <v>239</v>
      </c>
      <c r="U38" s="492" t="s">
        <v>760</v>
      </c>
      <c r="V38" s="424">
        <f>+'VII. Impresión'!DL24</f>
        <v>0</v>
      </c>
      <c r="W38" s="422"/>
    </row>
    <row r="39" spans="2:23" ht="15" customHeight="1">
      <c r="B39" s="571" t="s">
        <v>1182</v>
      </c>
      <c r="C39" s="492" t="s">
        <v>557</v>
      </c>
      <c r="D39" s="578">
        <f>+'Información General'!D61</f>
        <v>0</v>
      </c>
      <c r="E39" s="422"/>
      <c r="T39" s="571" t="s">
        <v>240</v>
      </c>
      <c r="U39" s="492" t="s">
        <v>761</v>
      </c>
      <c r="V39" s="424">
        <f>IF(D38=0,0,+'VII. Impresión'!B7/'V. Indicadores'!D38)</f>
        <v>0</v>
      </c>
      <c r="W39" s="422"/>
    </row>
    <row r="40" spans="2:23" ht="15" customHeight="1">
      <c r="B40" s="580" t="s">
        <v>1183</v>
      </c>
      <c r="C40" s="581" t="s">
        <v>557</v>
      </c>
      <c r="D40" s="582">
        <f>+'Información General'!D62</f>
        <v>0</v>
      </c>
      <c r="E40" s="583"/>
      <c r="T40" s="580" t="s">
        <v>240</v>
      </c>
      <c r="U40" s="581" t="s">
        <v>762</v>
      </c>
      <c r="V40" s="424">
        <f>IF(D38=0,0,+N5/D38)</f>
        <v>0</v>
      </c>
      <c r="W40" s="583"/>
    </row>
    <row r="41" spans="20:23" ht="15" customHeight="1">
      <c r="T41" s="475"/>
      <c r="U41" s="573"/>
      <c r="V41" s="477"/>
      <c r="W41" s="577"/>
    </row>
    <row r="42" spans="12:23" ht="15" customHeight="1">
      <c r="L42" s="559" t="s">
        <v>701</v>
      </c>
      <c r="T42" s="587" t="s">
        <v>106</v>
      </c>
      <c r="U42" s="581"/>
      <c r="V42" s="577"/>
      <c r="W42" s="583"/>
    </row>
    <row r="43" spans="12:23" ht="15" customHeight="1">
      <c r="L43" s="566" t="s">
        <v>763</v>
      </c>
      <c r="M43" s="567"/>
      <c r="N43" s="567"/>
      <c r="O43" s="568"/>
      <c r="T43" s="571" t="s">
        <v>241</v>
      </c>
      <c r="U43" s="492"/>
      <c r="V43" s="556">
        <f>+IF('VII. Impresión'!DF12=0,0,('VII. Impresión'!Q69/'VII. Impresión'!DF12))</f>
        <v>0</v>
      </c>
      <c r="W43" s="422"/>
    </row>
    <row r="44" spans="12:23" ht="15" customHeight="1">
      <c r="L44" s="572" t="s">
        <v>764</v>
      </c>
      <c r="M44" s="477"/>
      <c r="N44" s="477"/>
      <c r="O44" s="423"/>
      <c r="T44" s="571" t="s">
        <v>242</v>
      </c>
      <c r="U44" s="492"/>
      <c r="V44" s="556">
        <f>+IF('VII. Impresión'!DF12=0,0,('VII. Impresión'!Q74/'VII. Impresión'!DF12))</f>
        <v>0</v>
      </c>
      <c r="W44" s="422"/>
    </row>
    <row r="45" spans="12:23" ht="15" customHeight="1">
      <c r="L45" s="571" t="s">
        <v>194</v>
      </c>
      <c r="M45" s="492" t="s">
        <v>765</v>
      </c>
      <c r="N45" s="481">
        <f>IF(D36=0,0,+D16/D36)</f>
        <v>0</v>
      </c>
      <c r="O45" s="422" t="s">
        <v>50</v>
      </c>
      <c r="T45" s="571" t="s">
        <v>222</v>
      </c>
      <c r="U45" s="492" t="s">
        <v>727</v>
      </c>
      <c r="V45" s="454">
        <f>IF('VII. Impresión'!DF12=0,0,('II. Datos  Ganaderos'!S83)/'VII. Impresión'!DF12)</f>
        <v>0</v>
      </c>
      <c r="W45" s="422"/>
    </row>
    <row r="46" spans="12:23" ht="15" customHeight="1">
      <c r="L46" s="571" t="s">
        <v>195</v>
      </c>
      <c r="M46" s="492" t="s">
        <v>766</v>
      </c>
      <c r="N46" s="481">
        <f>IF(D36=0,0,+D32/D36)</f>
        <v>0</v>
      </c>
      <c r="O46" s="422" t="s">
        <v>50</v>
      </c>
      <c r="T46" s="571" t="s">
        <v>243</v>
      </c>
      <c r="U46" s="492" t="s">
        <v>727</v>
      </c>
      <c r="V46" s="454">
        <f>'VII. Impresión'!DF17</f>
        <v>0</v>
      </c>
      <c r="W46" s="422"/>
    </row>
    <row r="47" spans="12:23" ht="15" customHeight="1">
      <c r="L47" s="571" t="s">
        <v>196</v>
      </c>
      <c r="M47" s="492" t="s">
        <v>767</v>
      </c>
      <c r="N47" s="578">
        <f>+'VII. Impresión'!DC6</f>
        <v>0</v>
      </c>
      <c r="O47" s="422"/>
      <c r="T47" s="571" t="s">
        <v>243</v>
      </c>
      <c r="U47" s="492" t="s">
        <v>768</v>
      </c>
      <c r="V47" s="454">
        <f>'VII. Impresión'!DF18</f>
        <v>0</v>
      </c>
      <c r="W47" s="422"/>
    </row>
    <row r="48" spans="12:23" ht="15" customHeight="1">
      <c r="L48" s="571" t="s">
        <v>197</v>
      </c>
      <c r="M48" s="492" t="s">
        <v>419</v>
      </c>
      <c r="N48" s="556">
        <f>IF($D$16=0,0,+D15/$D$16)</f>
        <v>0</v>
      </c>
      <c r="O48" s="422" t="s">
        <v>50</v>
      </c>
      <c r="T48" s="571" t="s">
        <v>243</v>
      </c>
      <c r="U48" s="492" t="s">
        <v>769</v>
      </c>
      <c r="V48" s="424">
        <f>+'VII. Impresión'!DF19</f>
        <v>0</v>
      </c>
      <c r="W48" s="422"/>
    </row>
    <row r="49" spans="12:23" ht="15" customHeight="1">
      <c r="L49" s="571" t="s">
        <v>198</v>
      </c>
      <c r="M49" s="492" t="s">
        <v>419</v>
      </c>
      <c r="N49" s="556">
        <f>IF($D$16=0,0,+D18/$D$16)</f>
        <v>0</v>
      </c>
      <c r="O49" s="422" t="s">
        <v>50</v>
      </c>
      <c r="T49" s="571" t="s">
        <v>244</v>
      </c>
      <c r="U49" s="492" t="s">
        <v>419</v>
      </c>
      <c r="V49" s="556">
        <f>+'VII. Impresión'!DF20</f>
        <v>0</v>
      </c>
      <c r="W49" s="422"/>
    </row>
    <row r="50" spans="12:23" ht="15" customHeight="1">
      <c r="L50" s="571" t="s">
        <v>199</v>
      </c>
      <c r="M50" s="492" t="s">
        <v>419</v>
      </c>
      <c r="N50" s="556">
        <f>IF($D$16=0,0,+D29/$D$16)</f>
        <v>0</v>
      </c>
      <c r="O50" s="422" t="s">
        <v>50</v>
      </c>
      <c r="T50" s="571" t="s">
        <v>245</v>
      </c>
      <c r="U50" s="492" t="s">
        <v>770</v>
      </c>
      <c r="V50" s="556">
        <f>IF(W50=0,0,+'VII. Impresión'!DF16/W50)</f>
        <v>0</v>
      </c>
      <c r="W50" s="283">
        <f>SUM('VII. Impresión'!DF15:DF16)</f>
        <v>0</v>
      </c>
    </row>
    <row r="51" spans="12:23" ht="15" customHeight="1">
      <c r="L51" s="571" t="s">
        <v>200</v>
      </c>
      <c r="M51" s="492" t="s">
        <v>771</v>
      </c>
      <c r="N51" s="588">
        <f>IF($D$16=0,0,+D33/$D$16)</f>
        <v>0</v>
      </c>
      <c r="O51" s="422" t="s">
        <v>50</v>
      </c>
      <c r="T51" s="571" t="s">
        <v>246</v>
      </c>
      <c r="U51" s="492" t="s">
        <v>419</v>
      </c>
      <c r="V51" s="556">
        <f>+'VII. Impresión'!DF31</f>
        <v>0</v>
      </c>
      <c r="W51" s="422"/>
    </row>
    <row r="52" spans="12:23" ht="15" customHeight="1">
      <c r="L52" s="571" t="s">
        <v>201</v>
      </c>
      <c r="M52" s="492" t="s">
        <v>772</v>
      </c>
      <c r="N52" s="588">
        <f>IF($D$16=0,0,+D32/$D$16)</f>
        <v>0</v>
      </c>
      <c r="O52" s="422"/>
      <c r="T52" s="571" t="s">
        <v>247</v>
      </c>
      <c r="U52" s="492" t="s">
        <v>419</v>
      </c>
      <c r="V52" s="556">
        <f>+'VII. Impresión'!DN9</f>
        <v>0</v>
      </c>
      <c r="W52" s="422"/>
    </row>
    <row r="53" spans="12:23" ht="15" customHeight="1">
      <c r="L53" s="571" t="s">
        <v>202</v>
      </c>
      <c r="M53" s="492" t="s">
        <v>419</v>
      </c>
      <c r="N53" s="556">
        <f>IF('II. Datos  Ganaderos'!AO59=0,0,'II. Datos  Ganaderos'!AO44/'II. Datos  Ganaderos'!AO59)</f>
        <v>0</v>
      </c>
      <c r="O53" s="422"/>
      <c r="T53" s="571" t="s">
        <v>248</v>
      </c>
      <c r="U53" s="492" t="s">
        <v>343</v>
      </c>
      <c r="V53" s="481">
        <f>+'VII. Impresión'!DN7</f>
        <v>0</v>
      </c>
      <c r="W53" s="422"/>
    </row>
    <row r="54" spans="12:23" ht="15" customHeight="1">
      <c r="L54" s="571" t="s">
        <v>203</v>
      </c>
      <c r="M54" s="492" t="s">
        <v>773</v>
      </c>
      <c r="N54" s="589">
        <f>IF(D16=0,0,'II. Datos  Ganaderos'!AO59/'V. Indicadores'!D16)</f>
        <v>0</v>
      </c>
      <c r="O54" s="422"/>
      <c r="T54" s="571" t="s">
        <v>248</v>
      </c>
      <c r="U54" s="492" t="s">
        <v>774</v>
      </c>
      <c r="V54" s="454">
        <f>+'VII. Impresión'!DN8</f>
        <v>0</v>
      </c>
      <c r="W54" s="422"/>
    </row>
    <row r="55" spans="12:23" ht="15" customHeight="1">
      <c r="L55" s="571" t="s">
        <v>204</v>
      </c>
      <c r="M55" s="492" t="s">
        <v>419</v>
      </c>
      <c r="N55" s="556">
        <f>IF($D$36=0,0,+D37/$D$36)</f>
        <v>0</v>
      </c>
      <c r="O55" s="422"/>
      <c r="T55" s="571" t="s">
        <v>249</v>
      </c>
      <c r="U55" s="492" t="s">
        <v>308</v>
      </c>
      <c r="V55" s="454">
        <f>+IF('VII. Impresión'!$DE$22=0,'VII. Impresión'!$DE$27,IF('VII. Impresión'!$DE$27=0,'VII. Impresión'!$DE$22,('VII. Impresión'!$DE$22+'VII. Impresión'!$DE$27)/2))</f>
        <v>0</v>
      </c>
      <c r="W55" s="422"/>
    </row>
    <row r="56" spans="12:23" ht="15" customHeight="1">
      <c r="L56" s="571" t="s">
        <v>205</v>
      </c>
      <c r="M56" s="492" t="s">
        <v>419</v>
      </c>
      <c r="N56" s="556">
        <f>IF($D$36=0,0,+D38/$D$36)</f>
        <v>0</v>
      </c>
      <c r="O56" s="422"/>
      <c r="T56" s="571" t="s">
        <v>250</v>
      </c>
      <c r="U56" s="492" t="s">
        <v>775</v>
      </c>
      <c r="V56" s="454">
        <f>+IF('VII. Impresión'!$DF$22=0,'VII. Impresión'!$DF$27,IF('VII. Impresión'!$DF$27=0,'VII. Impresión'!$DF$22,('VII. Impresión'!$DF$22+'VII. Impresión'!$DF$27)/2))</f>
        <v>0</v>
      </c>
      <c r="W56" s="422"/>
    </row>
    <row r="57" spans="12:23" ht="15" customHeight="1">
      <c r="L57" s="571"/>
      <c r="M57" s="492"/>
      <c r="N57" s="481"/>
      <c r="O57" s="422"/>
      <c r="T57" s="571" t="s">
        <v>251</v>
      </c>
      <c r="U57" s="492" t="s">
        <v>308</v>
      </c>
      <c r="V57" s="454">
        <f>+IF('VII. Impresión'!$DE$23=0,'VII. Impresión'!$DE$28,IF('VII. Impresión'!$DE$28=0,'VII. Impresión'!$DE$23,('VII. Impresión'!$DE$23+'VII. Impresión'!$DE$28)/2))</f>
        <v>0</v>
      </c>
      <c r="W57" s="422"/>
    </row>
    <row r="58" spans="12:23" ht="15" customHeight="1">
      <c r="L58" s="572" t="s">
        <v>776</v>
      </c>
      <c r="M58" s="573"/>
      <c r="N58" s="477"/>
      <c r="O58" s="423"/>
      <c r="T58" s="571" t="s">
        <v>252</v>
      </c>
      <c r="U58" s="492" t="s">
        <v>775</v>
      </c>
      <c r="V58" s="454">
        <f>+IF('VII. Impresión'!$DE$23=0,'VII. Impresión'!$DE$28,IF('VII. Impresión'!$DF$28=0,'VII. Impresión'!$DF$23,('VII. Impresión'!$DF$23+'VII. Impresión'!$DF$28)/2))</f>
        <v>0</v>
      </c>
      <c r="W58" s="422"/>
    </row>
    <row r="59" spans="12:23" ht="15" customHeight="1">
      <c r="L59" s="571" t="s">
        <v>206</v>
      </c>
      <c r="M59" s="492" t="s">
        <v>511</v>
      </c>
      <c r="N59" s="481">
        <f>IF(D11=0,0,+D11/D16)</f>
        <v>0</v>
      </c>
      <c r="O59" s="422" t="s">
        <v>50</v>
      </c>
      <c r="T59" s="571" t="s">
        <v>253</v>
      </c>
      <c r="U59" s="492" t="s">
        <v>308</v>
      </c>
      <c r="V59" s="454">
        <f>+IF('VII. Impresión'!$DE$24=0,'VII. Impresión'!$DE$29,IF('VII. Impresión'!$DE$29=0,'VII. Impresión'!$DE$24,('VII. Impresión'!$DE$24+'VII. Impresión'!$DE$29)/2))</f>
        <v>0</v>
      </c>
      <c r="W59" s="422"/>
    </row>
    <row r="60" spans="12:23" ht="15" customHeight="1">
      <c r="L60" s="571" t="s">
        <v>207</v>
      </c>
      <c r="M60" s="492" t="s">
        <v>777</v>
      </c>
      <c r="N60" s="481">
        <f>IF(D36=0,0,+D10/D36)</f>
        <v>0</v>
      </c>
      <c r="O60" s="422"/>
      <c r="T60" s="571" t="s">
        <v>254</v>
      </c>
      <c r="U60" s="492" t="s">
        <v>775</v>
      </c>
      <c r="V60" s="454">
        <f>+IF('VII. Impresión'!$DE$24=0,'VII. Impresión'!$DE$29,IF('VII. Impresión'!$DF$29=0,'VII. Impresión'!$DF$24,('VII. Impresión'!$DF$24+'VII. Impresión'!$DF$29)/2))</f>
        <v>0</v>
      </c>
      <c r="W60" s="422"/>
    </row>
    <row r="61" spans="2:23" ht="15" customHeight="1">
      <c r="B61" s="481"/>
      <c r="C61" s="481"/>
      <c r="D61" s="481"/>
      <c r="E61" s="481"/>
      <c r="L61" s="571" t="s">
        <v>208</v>
      </c>
      <c r="M61" s="492" t="s">
        <v>778</v>
      </c>
      <c r="N61" s="481">
        <f>IF(D16=0,0,+D10/D16)</f>
        <v>0</v>
      </c>
      <c r="O61" s="422"/>
      <c r="T61" s="580" t="s">
        <v>255</v>
      </c>
      <c r="U61" s="581" t="s">
        <v>779</v>
      </c>
      <c r="V61" s="1309">
        <f>+'VII. Impresión'!DN10</f>
        <v>0</v>
      </c>
      <c r="W61" s="583"/>
    </row>
    <row r="62" spans="12:23" ht="15" customHeight="1">
      <c r="L62" s="571" t="s">
        <v>209</v>
      </c>
      <c r="M62" s="492" t="s">
        <v>780</v>
      </c>
      <c r="N62" s="481">
        <f>IF(D16=0,0,+D6/D16)</f>
        <v>0</v>
      </c>
      <c r="O62" s="422"/>
      <c r="T62" s="572" t="s">
        <v>781</v>
      </c>
      <c r="U62" s="573"/>
      <c r="V62" s="477"/>
      <c r="W62" s="423"/>
    </row>
    <row r="63" spans="12:23" ht="15" customHeight="1">
      <c r="L63" s="571" t="s">
        <v>210</v>
      </c>
      <c r="M63" s="492" t="s">
        <v>782</v>
      </c>
      <c r="N63" s="454">
        <f>'VII. Impresión'!AM41</f>
        <v>0</v>
      </c>
      <c r="O63" s="422"/>
      <c r="T63" s="563" t="s">
        <v>256</v>
      </c>
      <c r="U63" s="492" t="s">
        <v>256</v>
      </c>
      <c r="V63" s="578">
        <f>+'VII. Impresión'!CW13</f>
        <v>0</v>
      </c>
      <c r="W63" s="422"/>
    </row>
    <row r="64" spans="12:23" ht="15" customHeight="1">
      <c r="L64" s="571"/>
      <c r="M64" s="492"/>
      <c r="N64" s="481"/>
      <c r="O64" s="583"/>
      <c r="T64" s="571" t="s">
        <v>257</v>
      </c>
      <c r="U64" s="492" t="s">
        <v>783</v>
      </c>
      <c r="V64" s="481">
        <f>+'VII. Impresión'!CX13</f>
        <v>0</v>
      </c>
      <c r="W64" s="422"/>
    </row>
    <row r="65" spans="12:23" ht="15" customHeight="1">
      <c r="L65" s="593" t="s">
        <v>784</v>
      </c>
      <c r="M65" s="594"/>
      <c r="N65" s="595"/>
      <c r="O65" s="596"/>
      <c r="T65" s="580" t="s">
        <v>258</v>
      </c>
      <c r="U65" s="581" t="s">
        <v>785</v>
      </c>
      <c r="V65" s="582">
        <f>+'VII. Impresión'!CY27</f>
        <v>0</v>
      </c>
      <c r="W65" s="583"/>
    </row>
    <row r="66" spans="12:23" ht="15" customHeight="1">
      <c r="L66" s="571" t="s">
        <v>211</v>
      </c>
      <c r="M66" s="492" t="s">
        <v>786</v>
      </c>
      <c r="N66" s="597">
        <f>+'VII. Impresión'!AO53</f>
        <v>0</v>
      </c>
      <c r="O66" s="565"/>
      <c r="T66" s="590" t="s">
        <v>787</v>
      </c>
      <c r="U66" s="591"/>
      <c r="V66" s="591"/>
      <c r="W66" s="592"/>
    </row>
    <row r="67" spans="12:23" ht="15" customHeight="1">
      <c r="L67" s="571" t="s">
        <v>212</v>
      </c>
      <c r="M67" s="492" t="s">
        <v>788</v>
      </c>
      <c r="N67" s="597">
        <f>+'VII. Impresión'!AO54</f>
        <v>0</v>
      </c>
      <c r="O67" s="422"/>
      <c r="T67" s="572" t="s">
        <v>789</v>
      </c>
      <c r="U67" s="477"/>
      <c r="V67" s="477"/>
      <c r="W67" s="423"/>
    </row>
    <row r="68" spans="12:23" ht="15" customHeight="1">
      <c r="L68" s="571" t="s">
        <v>213</v>
      </c>
      <c r="M68" s="492" t="s">
        <v>790</v>
      </c>
      <c r="N68" s="481">
        <f>IF(D36=0,0,'VII. Impresión'!AO51/D36)</f>
        <v>0</v>
      </c>
      <c r="O68" s="422"/>
      <c r="T68" s="575" t="s">
        <v>98</v>
      </c>
      <c r="U68" s="492"/>
      <c r="V68" s="481"/>
      <c r="W68" s="422"/>
    </row>
    <row r="69" spans="12:23" ht="15" customHeight="1">
      <c r="L69" s="580" t="s">
        <v>214</v>
      </c>
      <c r="M69" s="581" t="s">
        <v>791</v>
      </c>
      <c r="N69" s="598">
        <f>IF(D5=0,0,'VII. Impresión'!AO51/D5)</f>
        <v>0</v>
      </c>
      <c r="O69" s="583"/>
      <c r="T69" s="571" t="s">
        <v>259</v>
      </c>
      <c r="U69" s="492" t="s">
        <v>792</v>
      </c>
      <c r="V69" s="481">
        <f>IF(D33=0,0,+('VII. Impresión'!AC27+'VII. Impresión'!AC30+'VII. Impresión'!AC28+'VII. Impresión'!AC29+'VII. Impresión'!AC31)/D33)</f>
        <v>0</v>
      </c>
      <c r="W69" s="422"/>
    </row>
    <row r="70" spans="12:23" ht="15" customHeight="1">
      <c r="L70" s="475"/>
      <c r="M70" s="477"/>
      <c r="N70" s="477"/>
      <c r="O70" s="423"/>
      <c r="T70" s="571" t="s">
        <v>260</v>
      </c>
      <c r="U70" s="492" t="s">
        <v>792</v>
      </c>
      <c r="V70" s="481">
        <f>IF(D33=0,0,+'VII. Impresión'!AC34/'V. Indicadores'!D33)</f>
        <v>0</v>
      </c>
      <c r="W70" s="422"/>
    </row>
    <row r="71" spans="20:23" ht="15" customHeight="1">
      <c r="T71" s="571" t="s">
        <v>261</v>
      </c>
      <c r="U71" s="492" t="s">
        <v>792</v>
      </c>
      <c r="V71" s="481">
        <f>IF(D33=0,0,(+'VII. Impresión'!AC27+'VII. Impresión'!AC28+'VII. Impresión'!AC29)/'V. Indicadores'!D33)</f>
        <v>0</v>
      </c>
      <c r="W71" s="422"/>
    </row>
    <row r="72" spans="20:23" ht="15" customHeight="1">
      <c r="T72" s="571" t="s">
        <v>262</v>
      </c>
      <c r="U72" s="492" t="s">
        <v>792</v>
      </c>
      <c r="V72" s="481">
        <f>IF(D33=0,0,'VII. Impresión'!AC30/'V. Indicadores'!D33)</f>
        <v>0</v>
      </c>
      <c r="W72" s="422"/>
    </row>
    <row r="73" spans="20:23" ht="15" customHeight="1">
      <c r="T73" s="571" t="s">
        <v>263</v>
      </c>
      <c r="U73" s="492" t="s">
        <v>793</v>
      </c>
      <c r="V73" s="454">
        <f>IF('VII. Impresión'!DL8=0,0,'VII. Impresión'!AC36/'VII. Impresión'!DL8)</f>
        <v>0</v>
      </c>
      <c r="W73" s="422"/>
    </row>
    <row r="74" spans="20:23" ht="15" customHeight="1">
      <c r="T74" s="571" t="s">
        <v>264</v>
      </c>
      <c r="U74" s="492" t="s">
        <v>794</v>
      </c>
      <c r="V74" s="454">
        <f>IF('VII. Impresión'!DL9=0,0,+'VII. Impresión'!AC36/'VII. Impresión'!DL9)</f>
        <v>0</v>
      </c>
      <c r="W74" s="422"/>
    </row>
    <row r="75" spans="20:23" ht="15" customHeight="1">
      <c r="T75" s="571" t="s">
        <v>1184</v>
      </c>
      <c r="U75" s="492" t="s">
        <v>794</v>
      </c>
      <c r="V75" s="454">
        <f>+'VII. Impresión'!DK35</f>
        <v>0</v>
      </c>
      <c r="W75" s="422"/>
    </row>
    <row r="76" spans="20:23" ht="15" customHeight="1">
      <c r="T76" s="571" t="s">
        <v>1185</v>
      </c>
      <c r="U76" s="492" t="s">
        <v>793</v>
      </c>
      <c r="V76" s="454">
        <f>+'VII. Impresión'!DK36</f>
        <v>0</v>
      </c>
      <c r="W76" s="422"/>
    </row>
    <row r="77" spans="20:23" ht="15" customHeight="1">
      <c r="T77" s="571" t="s">
        <v>795</v>
      </c>
      <c r="U77" s="492" t="s">
        <v>793</v>
      </c>
      <c r="V77" s="1310" t="e">
        <f>+'VII. Impresión'!AO3/'V. Indicadores'!N4</f>
        <v>#DIV/0!</v>
      </c>
      <c r="W77" s="422"/>
    </row>
    <row r="78" spans="20:23" ht="15" customHeight="1">
      <c r="T78" s="571" t="s">
        <v>265</v>
      </c>
      <c r="U78" s="492" t="s">
        <v>796</v>
      </c>
      <c r="V78" s="481">
        <f>+'VII. Impresión'!DL25</f>
        <v>0</v>
      </c>
      <c r="W78" s="422"/>
    </row>
    <row r="79" spans="20:23" ht="15" customHeight="1">
      <c r="T79" s="571" t="s">
        <v>266</v>
      </c>
      <c r="U79" s="492" t="s">
        <v>511</v>
      </c>
      <c r="V79" s="481">
        <f>+'VII. Impresión'!DK40</f>
        <v>0</v>
      </c>
      <c r="W79" s="422"/>
    </row>
    <row r="80" spans="20:23" ht="15" customHeight="1">
      <c r="T80" s="571" t="s">
        <v>266</v>
      </c>
      <c r="U80" s="492" t="s">
        <v>792</v>
      </c>
      <c r="V80" s="481">
        <f>+'VII. Impresión'!DK42</f>
        <v>0</v>
      </c>
      <c r="W80" s="422"/>
    </row>
    <row r="81" spans="20:23" ht="15" customHeight="1">
      <c r="T81" s="571" t="s">
        <v>266</v>
      </c>
      <c r="U81" s="492" t="s">
        <v>797</v>
      </c>
      <c r="V81" s="454">
        <f>+'VII. Impresión'!DK41</f>
        <v>0</v>
      </c>
      <c r="W81" s="422"/>
    </row>
    <row r="82" spans="20:23" ht="15" customHeight="1">
      <c r="T82" s="575" t="s">
        <v>106</v>
      </c>
      <c r="U82" s="599"/>
      <c r="V82" s="481"/>
      <c r="W82" s="422"/>
    </row>
    <row r="83" spans="20:23" ht="15" customHeight="1">
      <c r="T83" s="571" t="s">
        <v>267</v>
      </c>
      <c r="U83" s="492" t="s">
        <v>798</v>
      </c>
      <c r="V83" s="481">
        <f>IF(W83=0,0,+('VII. Impresión'!V26+'VII. Impresión'!V27+'VII. Impresión'!V28+'VII. Impresión'!V29)/W83)</f>
        <v>0</v>
      </c>
      <c r="W83" s="265">
        <f>+('VII. Impresión'!DF15+'VII. Impresión'!DF16)</f>
        <v>0</v>
      </c>
    </row>
    <row r="84" spans="20:23" ht="15" customHeight="1">
      <c r="T84" s="571" t="s">
        <v>268</v>
      </c>
      <c r="U84" s="492" t="s">
        <v>798</v>
      </c>
      <c r="V84" s="529">
        <f>IF(W83=0,0,'VII. Impresión'!V31/W83)</f>
        <v>0</v>
      </c>
      <c r="W84" s="422"/>
    </row>
    <row r="85" spans="20:23" ht="15" customHeight="1">
      <c r="T85" s="571" t="s">
        <v>269</v>
      </c>
      <c r="U85" s="492" t="s">
        <v>798</v>
      </c>
      <c r="V85" s="481">
        <f>IF(W83=0,0,('VII. Impresión'!V26+'VII. Impresión'!V27+'VII. Impresión'!V28)/W83)</f>
        <v>0</v>
      </c>
      <c r="W85" s="422"/>
    </row>
    <row r="86" spans="20:23" ht="15" customHeight="1">
      <c r="T86" s="571" t="s">
        <v>270</v>
      </c>
      <c r="U86" s="492" t="s">
        <v>798</v>
      </c>
      <c r="V86" s="481">
        <f>IF(W83=0,0,'VII. Impresión'!V29/W83)</f>
        <v>0</v>
      </c>
      <c r="W86" s="422"/>
    </row>
    <row r="87" spans="20:23" ht="15" customHeight="1">
      <c r="T87" s="571" t="s">
        <v>271</v>
      </c>
      <c r="U87" s="492" t="s">
        <v>799</v>
      </c>
      <c r="V87" s="454">
        <f>'VII. Impresión'!V34</f>
        <v>0</v>
      </c>
      <c r="W87" s="422"/>
    </row>
    <row r="88" spans="20:24" ht="15" customHeight="1">
      <c r="T88" s="571" t="s">
        <v>272</v>
      </c>
      <c r="U88" s="492" t="s">
        <v>782</v>
      </c>
      <c r="V88" s="600">
        <f>+'VII. Impresión'!DN36</f>
        <v>0</v>
      </c>
      <c r="W88" s="422"/>
      <c r="X88" s="697"/>
    </row>
    <row r="89" spans="20:24" ht="15" customHeight="1">
      <c r="T89" s="571" t="s">
        <v>273</v>
      </c>
      <c r="U89" s="492" t="s">
        <v>532</v>
      </c>
      <c r="V89" s="454">
        <f>+'VII. Impresión'!DN35</f>
        <v>0</v>
      </c>
      <c r="W89" s="422"/>
      <c r="X89" s="697"/>
    </row>
    <row r="90" spans="20:24" ht="15" customHeight="1">
      <c r="T90" s="571" t="s">
        <v>274</v>
      </c>
      <c r="U90" s="492" t="s">
        <v>532</v>
      </c>
      <c r="V90" s="454">
        <f>+'VII. Impresión'!DN37</f>
        <v>0</v>
      </c>
      <c r="W90" s="422"/>
      <c r="X90" s="697"/>
    </row>
    <row r="91" spans="20:24" ht="15" customHeight="1">
      <c r="T91" s="571" t="s">
        <v>266</v>
      </c>
      <c r="U91" s="492" t="s">
        <v>511</v>
      </c>
      <c r="V91" s="578">
        <f>+'VII. Impresión'!DN39</f>
        <v>0</v>
      </c>
      <c r="W91" s="422"/>
      <c r="X91" s="697"/>
    </row>
    <row r="92" spans="20:24" ht="15" customHeight="1">
      <c r="T92" s="571" t="s">
        <v>266</v>
      </c>
      <c r="U92" s="492" t="s">
        <v>800</v>
      </c>
      <c r="V92" s="578">
        <f>+'VII. Impresión'!DN40</f>
        <v>0</v>
      </c>
      <c r="W92" s="422"/>
      <c r="X92" s="697"/>
    </row>
    <row r="93" spans="20:24" ht="15" customHeight="1">
      <c r="T93" s="580" t="s">
        <v>266</v>
      </c>
      <c r="U93" s="581" t="s">
        <v>801</v>
      </c>
      <c r="V93" s="601">
        <f>+'VII. Impresión'!DN41</f>
        <v>0</v>
      </c>
      <c r="W93" s="583"/>
      <c r="X93" s="697"/>
    </row>
    <row r="94" spans="20:24" ht="15" customHeight="1">
      <c r="T94" s="577"/>
      <c r="U94" s="581"/>
      <c r="V94" s="577"/>
      <c r="W94" s="481"/>
      <c r="X94" s="697"/>
    </row>
    <row r="95" spans="20:25" ht="15" customHeight="1">
      <c r="T95" s="694" t="s">
        <v>802</v>
      </c>
      <c r="U95" s="695"/>
      <c r="V95" s="696"/>
      <c r="W95" s="1312"/>
      <c r="X95" s="1313"/>
      <c r="Y95" s="451"/>
    </row>
    <row r="96" spans="20:25" ht="15" customHeight="1">
      <c r="T96" s="698" t="s">
        <v>275</v>
      </c>
      <c r="U96" s="699" t="s">
        <v>511</v>
      </c>
      <c r="V96" s="700">
        <f>+'VII. Impresión'!CU27</f>
        <v>0</v>
      </c>
      <c r="W96" s="1314"/>
      <c r="X96" s="1313"/>
      <c r="Y96" s="451"/>
    </row>
    <row r="97" spans="20:25" ht="15" customHeight="1">
      <c r="T97" s="698" t="s">
        <v>276</v>
      </c>
      <c r="U97" s="699" t="s">
        <v>511</v>
      </c>
      <c r="V97" s="700">
        <f>+'VII. Impresión'!CS27</f>
        <v>0</v>
      </c>
      <c r="W97" s="1314"/>
      <c r="X97" s="1313"/>
      <c r="Y97" s="451"/>
    </row>
    <row r="98" spans="20:25" ht="15" customHeight="1">
      <c r="T98" s="698" t="s">
        <v>277</v>
      </c>
      <c r="U98" s="699" t="s">
        <v>511</v>
      </c>
      <c r="V98" s="700">
        <f>+'VII. Impresión'!CT27</f>
        <v>0</v>
      </c>
      <c r="W98" s="1314"/>
      <c r="X98" s="1313"/>
      <c r="Y98" s="451"/>
    </row>
    <row r="99" spans="20:25" ht="15" customHeight="1">
      <c r="T99" s="698" t="s">
        <v>803</v>
      </c>
      <c r="U99" s="699" t="s">
        <v>511</v>
      </c>
      <c r="V99" s="700">
        <f>IF('VII. Impresión'!CT13=0,0,'VII. Impresión'!AO25/'VII. Impresión'!CT13)</f>
        <v>0</v>
      </c>
      <c r="W99" s="1314"/>
      <c r="X99" s="1313"/>
      <c r="Y99" s="451"/>
    </row>
    <row r="100" spans="20:25" ht="15" customHeight="1">
      <c r="T100" s="698" t="s">
        <v>804</v>
      </c>
      <c r="U100" s="699"/>
      <c r="V100" s="700"/>
      <c r="W100" s="1314"/>
      <c r="X100" s="1313"/>
      <c r="Y100" s="451"/>
    </row>
    <row r="101" spans="20:25" ht="15" customHeight="1">
      <c r="T101" s="701" t="str">
        <f>+'VII. Impresión'!CQ18</f>
        <v>XXX</v>
      </c>
      <c r="U101" s="699" t="s">
        <v>805</v>
      </c>
      <c r="V101" s="700">
        <f>+'VII. Impresión'!CR18</f>
        <v>0</v>
      </c>
      <c r="W101" s="1314"/>
      <c r="X101" s="1313"/>
      <c r="Y101" s="451"/>
    </row>
    <row r="102" spans="20:25" ht="15" customHeight="1">
      <c r="T102" s="701" t="str">
        <f>+'VII. Impresión'!CQ19</f>
        <v>XXX</v>
      </c>
      <c r="U102" s="699" t="s">
        <v>805</v>
      </c>
      <c r="V102" s="700">
        <f>+'VII. Impresión'!CR19</f>
        <v>0</v>
      </c>
      <c r="W102" s="1314"/>
      <c r="X102" s="1313"/>
      <c r="Y102" s="451"/>
    </row>
    <row r="103" spans="20:25" ht="15" customHeight="1">
      <c r="T103" s="701" t="str">
        <f>+'VII. Impresión'!CQ20</f>
        <v>XXX</v>
      </c>
      <c r="U103" s="699" t="s">
        <v>805</v>
      </c>
      <c r="V103" s="700">
        <f>+'VII. Impresión'!CR20</f>
        <v>0</v>
      </c>
      <c r="W103" s="1314"/>
      <c r="X103" s="1313"/>
      <c r="Y103" s="451"/>
    </row>
    <row r="104" spans="20:25" ht="15" customHeight="1">
      <c r="T104" s="701" t="str">
        <f>+'VII. Impresión'!CQ21</f>
        <v>XXX</v>
      </c>
      <c r="U104" s="699" t="s">
        <v>805</v>
      </c>
      <c r="V104" s="700">
        <f>+'VII. Impresión'!CR21</f>
        <v>0</v>
      </c>
      <c r="W104" s="1316"/>
      <c r="X104" s="933">
        <f>+W111*V111</f>
        <v>0</v>
      </c>
      <c r="Y104" s="451"/>
    </row>
    <row r="105" spans="20:25" ht="15" customHeight="1">
      <c r="T105" s="701" t="str">
        <f>+'VII. Impresión'!CQ22</f>
        <v>XXX</v>
      </c>
      <c r="U105" s="699" t="s">
        <v>805</v>
      </c>
      <c r="V105" s="700">
        <f>+'VII. Impresión'!CR22</f>
        <v>0</v>
      </c>
      <c r="W105" s="1316"/>
      <c r="X105" s="933">
        <f>+W112*V112</f>
        <v>0</v>
      </c>
      <c r="Y105" s="451"/>
    </row>
    <row r="106" spans="20:25" ht="15" customHeight="1">
      <c r="T106" s="701" t="str">
        <f>+'VII. Impresión'!CQ23</f>
        <v>XXX</v>
      </c>
      <c r="U106" s="699" t="s">
        <v>805</v>
      </c>
      <c r="V106" s="700">
        <f>+'VII. Impresión'!CR23</f>
        <v>0</v>
      </c>
      <c r="W106" s="1316"/>
      <c r="X106" s="933">
        <f>+W113*V113</f>
        <v>0</v>
      </c>
      <c r="Y106" s="451"/>
    </row>
    <row r="107" spans="20:25" ht="15" customHeight="1">
      <c r="T107" s="701" t="str">
        <f>+'VII. Impresión'!CQ24</f>
        <v>XXX</v>
      </c>
      <c r="U107" s="699" t="s">
        <v>805</v>
      </c>
      <c r="V107" s="700">
        <f>+'VII. Impresión'!CR24</f>
        <v>0</v>
      </c>
      <c r="W107" s="1316"/>
      <c r="X107" s="933">
        <f>+W111*V111</f>
        <v>0</v>
      </c>
      <c r="Y107" s="451"/>
    </row>
    <row r="108" spans="20:25" ht="15" customHeight="1">
      <c r="T108" s="701" t="str">
        <f>+'VII. Impresión'!CQ25</f>
        <v>XXX</v>
      </c>
      <c r="U108" s="699" t="s">
        <v>805</v>
      </c>
      <c r="V108" s="700">
        <f>+'VII. Impresión'!CR25</f>
        <v>0</v>
      </c>
      <c r="W108" s="1316"/>
      <c r="X108" s="933">
        <f aca="true" t="shared" si="0" ref="X108:X115">+W112*V112</f>
        <v>0</v>
      </c>
      <c r="Y108" s="451"/>
    </row>
    <row r="109" spans="20:25" ht="15" customHeight="1">
      <c r="T109" s="701" t="str">
        <f>+'VII. Impresión'!CQ26</f>
        <v>XXX</v>
      </c>
      <c r="U109" s="699" t="s">
        <v>805</v>
      </c>
      <c r="V109" s="700">
        <f>+'VII. Impresión'!CR26</f>
        <v>0</v>
      </c>
      <c r="W109" s="1316"/>
      <c r="X109" s="933">
        <f t="shared" si="0"/>
        <v>0</v>
      </c>
      <c r="Y109" s="451"/>
    </row>
    <row r="110" spans="20:25" ht="15" customHeight="1">
      <c r="T110" s="698" t="s">
        <v>266</v>
      </c>
      <c r="U110" s="699"/>
      <c r="V110" s="700"/>
      <c r="W110" s="1316"/>
      <c r="X110" s="933">
        <f t="shared" si="0"/>
        <v>0</v>
      </c>
      <c r="Y110" s="451"/>
    </row>
    <row r="111" spans="20:25" ht="15" customHeight="1">
      <c r="T111" s="701" t="str">
        <f aca="true" t="shared" si="1" ref="T111:T119">+Z15</f>
        <v>XXX</v>
      </c>
      <c r="U111" s="699" t="s">
        <v>511</v>
      </c>
      <c r="V111" s="700">
        <f>+'VII. Impresión'!CW18</f>
        <v>0</v>
      </c>
      <c r="W111" s="1316">
        <f>+'III. Datos Agrícolas'!B4</f>
        <v>0</v>
      </c>
      <c r="X111" s="933">
        <f t="shared" si="0"/>
        <v>0</v>
      </c>
      <c r="Y111" s="451"/>
    </row>
    <row r="112" spans="20:25" ht="15" customHeight="1">
      <c r="T112" s="701" t="str">
        <f t="shared" si="1"/>
        <v>XXX</v>
      </c>
      <c r="U112" s="699" t="s">
        <v>511</v>
      </c>
      <c r="V112" s="700">
        <f>+'VII. Impresión'!CW19</f>
        <v>0</v>
      </c>
      <c r="W112" s="1316">
        <f>+'III. Datos Agrícolas'!G4</f>
        <v>0</v>
      </c>
      <c r="X112" s="933">
        <f t="shared" si="0"/>
        <v>0</v>
      </c>
      <c r="Y112" s="451"/>
    </row>
    <row r="113" spans="20:25" ht="15" customHeight="1">
      <c r="T113" s="701" t="str">
        <f t="shared" si="1"/>
        <v>XXX</v>
      </c>
      <c r="U113" s="699" t="s">
        <v>511</v>
      </c>
      <c r="V113" s="700">
        <f>+'VII. Impresión'!CW20</f>
        <v>0</v>
      </c>
      <c r="W113" s="1316">
        <f>+'III. Datos Agrícolas'!L4</f>
        <v>0</v>
      </c>
      <c r="X113" s="933">
        <f t="shared" si="0"/>
        <v>0</v>
      </c>
      <c r="Y113" s="451"/>
    </row>
    <row r="114" spans="20:25" ht="15" customHeight="1">
      <c r="T114" s="701" t="str">
        <f t="shared" si="1"/>
        <v>XXX</v>
      </c>
      <c r="U114" s="699" t="s">
        <v>511</v>
      </c>
      <c r="V114" s="700">
        <f>+'VII. Impresión'!CW21</f>
        <v>0</v>
      </c>
      <c r="W114" s="1316">
        <f>+'III. Datos Agrícolas'!Q4</f>
        <v>0</v>
      </c>
      <c r="X114" s="933">
        <f t="shared" si="0"/>
        <v>0</v>
      </c>
      <c r="Y114" s="451"/>
    </row>
    <row r="115" spans="20:25" ht="15" customHeight="1">
      <c r="T115" s="701" t="str">
        <f t="shared" si="1"/>
        <v>XXX</v>
      </c>
      <c r="U115" s="699" t="s">
        <v>511</v>
      </c>
      <c r="V115" s="700">
        <f>+'VII. Impresión'!CW22</f>
        <v>0</v>
      </c>
      <c r="W115" s="1316">
        <f>+'III. Datos Agrícolas'!V4</f>
        <v>0</v>
      </c>
      <c r="X115" s="933">
        <f t="shared" si="0"/>
        <v>0</v>
      </c>
      <c r="Y115" s="451"/>
    </row>
    <row r="116" spans="20:25" ht="15" customHeight="1">
      <c r="T116" s="701" t="str">
        <f t="shared" si="1"/>
        <v>XXX</v>
      </c>
      <c r="U116" s="699" t="s">
        <v>511</v>
      </c>
      <c r="V116" s="700">
        <f>+'VII. Impresión'!CW23</f>
        <v>0</v>
      </c>
      <c r="W116" s="1316">
        <f>+'III. Datos Agrícolas'!AC4</f>
        <v>0</v>
      </c>
      <c r="X116" s="933">
        <f>SUM(X107:X115)</f>
        <v>0</v>
      </c>
      <c r="Y116" s="451"/>
    </row>
    <row r="117" spans="20:25" ht="15" customHeight="1">
      <c r="T117" s="701" t="str">
        <f t="shared" si="1"/>
        <v>XXX</v>
      </c>
      <c r="U117" s="699" t="s">
        <v>511</v>
      </c>
      <c r="V117" s="700">
        <f>+'VII. Impresión'!CW24</f>
        <v>0</v>
      </c>
      <c r="W117" s="1316">
        <f>+'III. Datos Agrícolas'!AH4</f>
        <v>0</v>
      </c>
      <c r="X117" s="933"/>
      <c r="Y117" s="451"/>
    </row>
    <row r="118" spans="20:25" ht="15" customHeight="1">
      <c r="T118" s="701" t="str">
        <f t="shared" si="1"/>
        <v>XXX</v>
      </c>
      <c r="U118" s="699" t="s">
        <v>511</v>
      </c>
      <c r="V118" s="700">
        <f>+'VII. Impresión'!CW25</f>
        <v>0</v>
      </c>
      <c r="W118" s="1316">
        <f>+'III. Datos Agrícolas'!AM4</f>
        <v>0</v>
      </c>
      <c r="X118" s="933"/>
      <c r="Y118" s="451"/>
    </row>
    <row r="119" spans="20:25" ht="15" customHeight="1">
      <c r="T119" s="701" t="str">
        <f t="shared" si="1"/>
        <v>XXX</v>
      </c>
      <c r="U119" s="699" t="s">
        <v>511</v>
      </c>
      <c r="V119" s="700">
        <f>+'VII. Impresión'!CW26</f>
        <v>0</v>
      </c>
      <c r="W119" s="1316">
        <f>+'III. Datos Agrícolas'!AR4</f>
        <v>0</v>
      </c>
      <c r="X119" s="933"/>
      <c r="Y119" s="451"/>
    </row>
    <row r="120" spans="20:25" ht="15" customHeight="1">
      <c r="T120" s="701" t="s">
        <v>278</v>
      </c>
      <c r="U120" s="699" t="s">
        <v>806</v>
      </c>
      <c r="V120" s="700">
        <f>+IF(W120=0,0,X116/W120)</f>
        <v>0</v>
      </c>
      <c r="W120" s="1316">
        <f>SUM(W111:W119)</f>
        <v>0</v>
      </c>
      <c r="X120" s="933"/>
      <c r="Y120" s="451"/>
    </row>
    <row r="121" spans="20:25" ht="15" customHeight="1">
      <c r="T121" s="702" t="s">
        <v>278</v>
      </c>
      <c r="U121" s="703" t="s">
        <v>807</v>
      </c>
      <c r="V121" s="704">
        <f>+IF(X116=0,0,X116/D29)</f>
        <v>0</v>
      </c>
      <c r="W121" s="1315"/>
      <c r="X121" s="451"/>
      <c r="Y121" s="451"/>
    </row>
    <row r="122" spans="23:25" ht="15" customHeight="1">
      <c r="W122" s="451"/>
      <c r="X122" s="451"/>
      <c r="Y122" s="451"/>
    </row>
    <row r="123" spans="23:25" ht="15" customHeight="1">
      <c r="W123" s="451"/>
      <c r="X123" s="451"/>
      <c r="Y123" s="451"/>
    </row>
    <row r="124" spans="23:25" ht="15" customHeight="1">
      <c r="W124" s="451"/>
      <c r="X124" s="451"/>
      <c r="Y124" s="451"/>
    </row>
    <row r="125" spans="23:25" ht="15" customHeight="1">
      <c r="W125" s="451"/>
      <c r="X125" s="451"/>
      <c r="Y125" s="451"/>
    </row>
    <row r="126" spans="23:25" ht="15" customHeight="1">
      <c r="W126" s="451"/>
      <c r="X126" s="451"/>
      <c r="Y126" s="451"/>
    </row>
    <row r="127" spans="23:25" ht="15" customHeight="1">
      <c r="W127" s="451"/>
      <c r="X127" s="451"/>
      <c r="Y127" s="451"/>
    </row>
    <row r="128" spans="23:25" ht="15" customHeight="1">
      <c r="W128" s="451"/>
      <c r="X128" s="451"/>
      <c r="Y128" s="451"/>
    </row>
    <row r="129" spans="23:25" ht="15" customHeight="1">
      <c r="W129" s="451"/>
      <c r="X129" s="451"/>
      <c r="Y129" s="451"/>
    </row>
    <row r="130" spans="23:25" ht="15" customHeight="1">
      <c r="W130" s="451"/>
      <c r="X130" s="451"/>
      <c r="Y130" s="451"/>
    </row>
    <row r="131" spans="23:25" ht="15" customHeight="1">
      <c r="W131" s="451"/>
      <c r="X131" s="451"/>
      <c r="Y131" s="451"/>
    </row>
    <row r="132" spans="23:25" ht="15" customHeight="1">
      <c r="W132" s="451"/>
      <c r="X132" s="451"/>
      <c r="Y132" s="451"/>
    </row>
    <row r="133" spans="23:25" ht="15" customHeight="1">
      <c r="W133" s="451"/>
      <c r="X133" s="451"/>
      <c r="Y133" s="451"/>
    </row>
    <row r="134" spans="23:25" ht="15" customHeight="1">
      <c r="W134" s="451"/>
      <c r="X134" s="451"/>
      <c r="Y134" s="451"/>
    </row>
    <row r="135" spans="23:25" ht="15" customHeight="1">
      <c r="W135" s="451"/>
      <c r="X135" s="451"/>
      <c r="Y135" s="451"/>
    </row>
    <row r="136" spans="6:25" ht="15" customHeight="1">
      <c r="F136" s="481"/>
      <c r="W136" s="451"/>
      <c r="X136" s="451"/>
      <c r="Y136" s="451"/>
    </row>
    <row r="137" spans="23:25" ht="15" customHeight="1">
      <c r="W137" s="451"/>
      <c r="X137" s="451"/>
      <c r="Y137" s="451"/>
    </row>
    <row r="138" spans="23:25" ht="15" customHeight="1">
      <c r="W138" s="451"/>
      <c r="X138" s="451"/>
      <c r="Y138" s="451"/>
    </row>
    <row r="139" spans="23:25" ht="15" customHeight="1">
      <c r="W139" s="451"/>
      <c r="X139" s="451"/>
      <c r="Y139" s="451"/>
    </row>
    <row r="140" spans="23:25" ht="15" customHeight="1">
      <c r="W140" s="451"/>
      <c r="X140" s="451"/>
      <c r="Y140" s="451"/>
    </row>
    <row r="141" spans="23:25" ht="15" customHeight="1">
      <c r="W141" s="451"/>
      <c r="X141" s="451"/>
      <c r="Y141" s="451"/>
    </row>
    <row r="142" spans="23:25" ht="15" customHeight="1">
      <c r="W142" s="451"/>
      <c r="X142" s="451"/>
      <c r="Y142" s="451"/>
    </row>
    <row r="143" spans="1:25" ht="15" customHeight="1">
      <c r="A143" s="481"/>
      <c r="F143" s="481"/>
      <c r="W143" s="451"/>
      <c r="X143" s="451"/>
      <c r="Y143" s="451"/>
    </row>
    <row r="144" spans="1:6" ht="15" customHeight="1">
      <c r="A144" s="481"/>
      <c r="F144" s="481"/>
    </row>
    <row r="145" spans="1:6" ht="15" customHeight="1">
      <c r="A145" s="481"/>
      <c r="F145" s="481"/>
    </row>
    <row r="146" spans="1:6" ht="15" customHeight="1">
      <c r="A146" s="481"/>
      <c r="B146" s="481"/>
      <c r="C146" s="481"/>
      <c r="D146" s="481"/>
      <c r="E146" s="481"/>
      <c r="F146" s="481"/>
    </row>
    <row r="147" spans="1:6" ht="15" customHeight="1">
      <c r="A147" s="481"/>
      <c r="B147" s="481"/>
      <c r="C147" s="481"/>
      <c r="D147" s="481"/>
      <c r="E147" s="481"/>
      <c r="F147" s="481"/>
    </row>
    <row r="148" spans="2:5" ht="15" customHeight="1">
      <c r="B148" s="481"/>
      <c r="C148" s="481"/>
      <c r="D148" s="481"/>
      <c r="E148" s="481"/>
    </row>
    <row r="149" spans="2:5" ht="15" customHeight="1">
      <c r="B149" s="481"/>
      <c r="C149" s="481"/>
      <c r="D149" s="481"/>
      <c r="E149" s="481"/>
    </row>
    <row r="150" spans="2:5" ht="15" customHeight="1">
      <c r="B150" s="481"/>
      <c r="C150" s="481"/>
      <c r="D150" s="481"/>
      <c r="E150" s="481"/>
    </row>
    <row r="220" spans="2:5" ht="15" customHeight="1">
      <c r="B220" s="481"/>
      <c r="C220" s="481"/>
      <c r="D220" s="481"/>
      <c r="E220" s="481"/>
    </row>
    <row r="221" spans="2:5" ht="15" customHeight="1">
      <c r="B221" s="481"/>
      <c r="C221" s="481"/>
      <c r="D221" s="481"/>
      <c r="E221" s="481"/>
    </row>
    <row r="222" spans="2:5" ht="15" customHeight="1">
      <c r="B222" s="481"/>
      <c r="C222" s="481"/>
      <c r="D222" s="481"/>
      <c r="E222" s="481"/>
    </row>
    <row r="223" spans="2:5" ht="15" customHeight="1">
      <c r="B223" s="481"/>
      <c r="C223" s="481"/>
      <c r="D223" s="481"/>
      <c r="E223" s="481"/>
    </row>
    <row r="224" spans="2:5" ht="15" customHeight="1">
      <c r="B224" s="481"/>
      <c r="C224" s="481"/>
      <c r="D224" s="481"/>
      <c r="E224" s="481"/>
    </row>
    <row r="225" spans="2:5" ht="15" customHeight="1">
      <c r="B225" s="481"/>
      <c r="C225" s="481"/>
      <c r="D225" s="481"/>
      <c r="E225" s="481"/>
    </row>
    <row r="226" spans="2:5" ht="15" customHeight="1">
      <c r="B226" s="481"/>
      <c r="C226" s="481"/>
      <c r="D226" s="481"/>
      <c r="E226" s="481"/>
    </row>
    <row r="227" spans="2:5" ht="15" customHeight="1">
      <c r="B227" s="481"/>
      <c r="C227" s="481"/>
      <c r="D227" s="481"/>
      <c r="E227" s="481"/>
    </row>
    <row r="228" spans="2:5" ht="15" customHeight="1">
      <c r="B228" s="481"/>
      <c r="C228" s="481"/>
      <c r="D228" s="481"/>
      <c r="E228" s="481"/>
    </row>
    <row r="229" spans="2:5" ht="15" customHeight="1">
      <c r="B229" s="481"/>
      <c r="C229" s="481"/>
      <c r="D229" s="481"/>
      <c r="E229" s="481"/>
    </row>
    <row r="230" spans="2:5" ht="15" customHeight="1">
      <c r="B230" s="481"/>
      <c r="C230" s="481"/>
      <c r="D230" s="481"/>
      <c r="E230" s="481"/>
    </row>
    <row r="231" spans="2:5" ht="15" customHeight="1">
      <c r="B231" s="481"/>
      <c r="C231" s="481"/>
      <c r="D231" s="481"/>
      <c r="E231" s="481"/>
    </row>
    <row r="232" spans="2:5" ht="15" customHeight="1">
      <c r="B232" s="481"/>
      <c r="C232" s="481"/>
      <c r="D232" s="481"/>
      <c r="E232" s="481"/>
    </row>
    <row r="233" spans="2:5" ht="15" customHeight="1">
      <c r="B233" s="481"/>
      <c r="C233" s="481"/>
      <c r="D233" s="481"/>
      <c r="E233" s="481"/>
    </row>
    <row r="234" spans="2:5" ht="15" customHeight="1">
      <c r="B234" s="481"/>
      <c r="C234" s="481"/>
      <c r="D234" s="481"/>
      <c r="E234" s="481"/>
    </row>
    <row r="235" spans="2:5" ht="15" customHeight="1">
      <c r="B235" s="481"/>
      <c r="C235" s="481"/>
      <c r="D235" s="481"/>
      <c r="E235" s="481"/>
    </row>
    <row r="236" spans="2:5" ht="15" customHeight="1">
      <c r="B236" s="481"/>
      <c r="C236" s="481"/>
      <c r="D236" s="481"/>
      <c r="E236" s="481"/>
    </row>
    <row r="237" spans="2:5" ht="15" customHeight="1">
      <c r="B237" s="481"/>
      <c r="C237" s="481"/>
      <c r="D237" s="481"/>
      <c r="E237" s="481"/>
    </row>
    <row r="238" spans="2:5" ht="15" customHeight="1">
      <c r="B238" s="481"/>
      <c r="C238" s="481"/>
      <c r="D238" s="481"/>
      <c r="E238" s="481"/>
    </row>
    <row r="239" spans="2:5" ht="15" customHeight="1">
      <c r="B239" s="481"/>
      <c r="C239" s="481"/>
      <c r="D239" s="481"/>
      <c r="E239" s="481"/>
    </row>
    <row r="240" spans="2:5" ht="15" customHeight="1">
      <c r="B240" s="481"/>
      <c r="C240" s="481"/>
      <c r="D240" s="481"/>
      <c r="E240" s="481"/>
    </row>
    <row r="241" spans="2:5" ht="15" customHeight="1">
      <c r="B241" s="481"/>
      <c r="C241" s="481"/>
      <c r="D241" s="481"/>
      <c r="E241" s="481"/>
    </row>
    <row r="242" spans="2:5" ht="15" customHeight="1">
      <c r="B242" s="481"/>
      <c r="C242" s="481"/>
      <c r="D242" s="481"/>
      <c r="E242" s="481"/>
    </row>
    <row r="243" spans="2:5" ht="15" customHeight="1">
      <c r="B243" s="481"/>
      <c r="C243" s="481"/>
      <c r="D243" s="481"/>
      <c r="E243" s="481"/>
    </row>
    <row r="244" spans="2:5" ht="15" customHeight="1">
      <c r="B244" s="481"/>
      <c r="C244" s="481"/>
      <c r="D244" s="481"/>
      <c r="E244" s="481"/>
    </row>
    <row r="245" spans="2:5" ht="15" customHeight="1">
      <c r="B245" s="481"/>
      <c r="C245" s="481"/>
      <c r="D245" s="481"/>
      <c r="E245" s="481"/>
    </row>
    <row r="246" spans="2:5" ht="15" customHeight="1">
      <c r="B246" s="481"/>
      <c r="C246" s="481"/>
      <c r="D246" s="481"/>
      <c r="E246" s="481"/>
    </row>
    <row r="247" spans="2:6" ht="15" customHeight="1">
      <c r="B247" s="481"/>
      <c r="C247" s="481"/>
      <c r="D247" s="481"/>
      <c r="E247" s="481"/>
      <c r="F247" s="481"/>
    </row>
    <row r="248" spans="2:6" ht="15" customHeight="1">
      <c r="B248" s="481"/>
      <c r="C248" s="481"/>
      <c r="D248" s="481"/>
      <c r="E248" s="481"/>
      <c r="F248" s="481"/>
    </row>
    <row r="249" spans="2:6" ht="15" customHeight="1">
      <c r="B249" s="481"/>
      <c r="C249" s="481"/>
      <c r="D249" s="481"/>
      <c r="E249" s="481"/>
      <c r="F249" s="481"/>
    </row>
    <row r="250" spans="2:6" ht="15" customHeight="1">
      <c r="B250" s="481"/>
      <c r="C250" s="481"/>
      <c r="D250" s="481"/>
      <c r="E250" s="481"/>
      <c r="F250" s="481"/>
    </row>
    <row r="251" spans="2:6" ht="15" customHeight="1">
      <c r="B251" s="481"/>
      <c r="C251" s="481"/>
      <c r="D251" s="481"/>
      <c r="E251" s="481"/>
      <c r="F251" s="481"/>
    </row>
    <row r="252" spans="2:6" ht="15" customHeight="1">
      <c r="B252" s="481"/>
      <c r="C252" s="481"/>
      <c r="D252" s="481"/>
      <c r="E252" s="481"/>
      <c r="F252" s="481"/>
    </row>
    <row r="253" spans="2:6" ht="15" customHeight="1">
      <c r="B253" s="481"/>
      <c r="C253" s="481"/>
      <c r="D253" s="481"/>
      <c r="E253" s="481"/>
      <c r="F253" s="481"/>
    </row>
    <row r="254" spans="2:6" ht="15" customHeight="1">
      <c r="B254" s="481"/>
      <c r="C254" s="481"/>
      <c r="D254" s="481"/>
      <c r="E254" s="481"/>
      <c r="F254" s="481"/>
    </row>
    <row r="255" spans="2:6" ht="15" customHeight="1">
      <c r="B255" s="481"/>
      <c r="C255" s="481"/>
      <c r="D255" s="481"/>
      <c r="E255" s="481"/>
      <c r="F255" s="481"/>
    </row>
    <row r="256" spans="2:6" ht="15" customHeight="1">
      <c r="B256" s="481"/>
      <c r="C256" s="481"/>
      <c r="D256" s="481"/>
      <c r="E256" s="481"/>
      <c r="F256" s="481"/>
    </row>
    <row r="257" spans="2:5" ht="15" customHeight="1">
      <c r="B257" s="481"/>
      <c r="C257" s="481"/>
      <c r="D257" s="481"/>
      <c r="E257" s="481"/>
    </row>
    <row r="258" spans="2:5" ht="15" customHeight="1">
      <c r="B258" s="481"/>
      <c r="C258" s="481"/>
      <c r="D258" s="481"/>
      <c r="E258" s="481"/>
    </row>
    <row r="259" spans="2:5" ht="15" customHeight="1">
      <c r="B259" s="481"/>
      <c r="C259" s="481"/>
      <c r="D259" s="481"/>
      <c r="E259" s="481"/>
    </row>
    <row r="260" spans="2:5" ht="15" customHeight="1">
      <c r="B260" s="481"/>
      <c r="C260" s="481"/>
      <c r="D260" s="481"/>
      <c r="E260" s="481"/>
    </row>
  </sheetData>
  <sheetProtection password="CF3C" sheet="1" objects="1" scenarios="1"/>
  <printOptions horizontalCentered="1"/>
  <pageMargins left="0.7874015748031497" right="0.3937007874015748" top="0.7" bottom="0.7086614173228347" header="0.44" footer="0.5118110236220472"/>
  <pageSetup fitToHeight="1" fitToWidth="1" horizontalDpi="300" verticalDpi="300" orientation="portrait" paperSize="9" scale="89" r:id="rId2"/>
  <headerFooter alignWithMargins="0">
    <oddHeader>&amp;R&amp;"Verdana,Negrita"&amp;8TAMBO 2006&amp;"Verdana,Normal" - Modelo de Análisis: Tambo, Invernada y Agricultura</oddHeader>
    <oddFooter>&amp;C&amp;"Arial,Cursiva"&amp;10Administración  de Organizaciones - Facultad de Ciencias Agrarias - UNL</oddFooter>
  </headerFooter>
  <drawing r:id="rId1"/>
</worksheet>
</file>

<file path=xl/worksheets/sheet7.xml><?xml version="1.0" encoding="utf-8"?>
<worksheet xmlns="http://schemas.openxmlformats.org/spreadsheetml/2006/main" xmlns:r="http://schemas.openxmlformats.org/officeDocument/2006/relationships">
  <sheetPr codeName="Hoja7"/>
  <dimension ref="A1:DN157"/>
  <sheetViews>
    <sheetView showGridLines="0" zoomScale="75" zoomScaleNormal="75" zoomScalePageLayoutView="0" workbookViewId="0" topLeftCell="A1">
      <selection activeCell="D32" sqref="D32"/>
    </sheetView>
  </sheetViews>
  <sheetFormatPr defaultColWidth="11.19921875" defaultRowHeight="15" customHeight="1"/>
  <cols>
    <col min="1" max="1" width="25.296875" style="602" customWidth="1"/>
    <col min="2" max="2" width="7.8984375" style="602" customWidth="1"/>
    <col min="3" max="3" width="11.8984375" style="602" customWidth="1"/>
    <col min="4" max="4" width="20.09765625" style="602" customWidth="1"/>
    <col min="5" max="5" width="9.09765625" style="602" customWidth="1"/>
    <col min="6" max="6" width="12.3984375" style="602" customWidth="1"/>
    <col min="7" max="7" width="21.796875" style="602" customWidth="1"/>
    <col min="8" max="8" width="9.19921875" style="602" customWidth="1"/>
    <col min="9" max="9" width="10" style="602" customWidth="1"/>
    <col min="10" max="10" width="18.796875" style="602" customWidth="1"/>
    <col min="11" max="11" width="10.296875" style="602" customWidth="1"/>
    <col min="12" max="12" width="9.796875" style="602" customWidth="1"/>
    <col min="13" max="13" width="23.59765625" style="602" customWidth="1"/>
    <col min="14" max="15" width="11.59765625" style="602" customWidth="1"/>
    <col min="16" max="16" width="17.796875" style="602" customWidth="1"/>
    <col min="17" max="18" width="11.59765625" style="602" customWidth="1"/>
    <col min="19" max="19" width="17.796875" style="602" customWidth="1"/>
    <col min="20" max="20" width="12.3984375" style="602" customWidth="1"/>
    <col min="21" max="21" width="12.19921875" style="602" customWidth="1"/>
    <col min="22" max="22" width="18.3984375" style="602" customWidth="1"/>
    <col min="23" max="24" width="14.69921875" style="602" customWidth="1"/>
    <col min="25" max="25" width="11.59765625" style="602" customWidth="1"/>
    <col min="26" max="26" width="20.296875" style="602" customWidth="1"/>
    <col min="27" max="27" width="11.796875" style="602" customWidth="1"/>
    <col min="28" max="28" width="14" style="602" customWidth="1"/>
    <col min="29" max="29" width="18.19921875" style="602" customWidth="1"/>
    <col min="30" max="30" width="14.59765625" style="602" customWidth="1"/>
    <col min="31" max="31" width="12.3984375" style="602" customWidth="1"/>
    <col min="32" max="32" width="16.19921875" style="602" customWidth="1"/>
    <col min="33" max="33" width="28.296875" style="602" customWidth="1"/>
    <col min="34" max="35" width="11.69921875" style="602" customWidth="1"/>
    <col min="36" max="36" width="40" style="602" customWidth="1"/>
    <col min="37" max="37" width="11.59765625" style="602" customWidth="1"/>
    <col min="38" max="38" width="15" style="602" customWidth="1"/>
    <col min="39" max="39" width="13.296875" style="602" customWidth="1"/>
    <col min="40" max="40" width="11.69921875" style="602" customWidth="1"/>
    <col min="41" max="41" width="15.19921875" style="602" customWidth="1"/>
    <col min="42" max="42" width="11.59765625" style="602" customWidth="1"/>
    <col min="43" max="43" width="34.59765625" style="602" customWidth="1"/>
    <col min="44" max="44" width="33.69921875" style="602" customWidth="1"/>
    <col min="45" max="45" width="10.8984375" style="608" customWidth="1"/>
    <col min="46" max="46" width="10.8984375" style="602" customWidth="1"/>
    <col min="47" max="48" width="11.59765625" style="602" customWidth="1"/>
    <col min="49" max="49" width="30.796875" style="602" customWidth="1"/>
    <col min="50" max="50" width="29.09765625" style="602" customWidth="1"/>
    <col min="51" max="51" width="22" style="602" customWidth="1"/>
    <col min="52" max="53" width="11.59765625" style="602" customWidth="1"/>
    <col min="54" max="54" width="35.19921875" style="602" customWidth="1"/>
    <col min="55" max="55" width="37.3984375" style="602" customWidth="1"/>
    <col min="56" max="56" width="19.69921875" style="608" customWidth="1"/>
    <col min="57" max="58" width="11.59765625" style="602" customWidth="1"/>
    <col min="59" max="59" width="30.19921875" style="602" customWidth="1"/>
    <col min="60" max="60" width="32" style="602" customWidth="1"/>
    <col min="61" max="61" width="23.09765625" style="608" customWidth="1"/>
    <col min="62" max="63" width="11.59765625" style="602" customWidth="1"/>
    <col min="64" max="66" width="11.59765625" style="1397" customWidth="1"/>
    <col min="67" max="67" width="12.3984375" style="1397" customWidth="1"/>
    <col min="68" max="71" width="11.59765625" style="1397" customWidth="1"/>
    <col min="72" max="72" width="14.8984375" style="1397" customWidth="1"/>
    <col min="73" max="73" width="8.8984375" style="1397" customWidth="1"/>
    <col min="74" max="108" width="11.59765625" style="1395" customWidth="1"/>
    <col min="109" max="109" width="13.3984375" style="1395" customWidth="1"/>
    <col min="110" max="110" width="11.69921875" style="1395" customWidth="1"/>
    <col min="111" max="112" width="11.59765625" style="1395" customWidth="1"/>
    <col min="113" max="115" width="11.69921875" style="1395" customWidth="1"/>
    <col min="116" max="116" width="12.09765625" style="1395" customWidth="1"/>
    <col min="117" max="117" width="27.796875" style="1395" customWidth="1"/>
    <col min="118" max="118" width="11.69921875" style="1395" customWidth="1"/>
    <col min="119" max="202" width="11.59765625" style="1395" customWidth="1"/>
    <col min="203" max="16384" width="11.59765625" style="1535" customWidth="1"/>
  </cols>
  <sheetData>
    <row r="1" spans="1:116" ht="16.5" customHeight="1" thickBot="1">
      <c r="A1" s="1111" t="s">
        <v>808</v>
      </c>
      <c r="H1" s="1235"/>
      <c r="M1" s="603" t="s">
        <v>809</v>
      </c>
      <c r="O1" s="675"/>
      <c r="P1" s="675"/>
      <c r="S1" s="603" t="s">
        <v>810</v>
      </c>
      <c r="T1" s="607"/>
      <c r="U1" s="605"/>
      <c r="V1" s="605"/>
      <c r="W1" s="605"/>
      <c r="X1" s="605"/>
      <c r="Z1" s="603" t="s">
        <v>811</v>
      </c>
      <c r="AA1" s="607"/>
      <c r="AB1" s="605"/>
      <c r="AC1" s="605"/>
      <c r="AD1" s="605"/>
      <c r="AE1" s="605"/>
      <c r="AG1" s="604" t="s">
        <v>812</v>
      </c>
      <c r="AK1" s="606" t="s">
        <v>813</v>
      </c>
      <c r="AL1" s="607"/>
      <c r="AM1" s="607"/>
      <c r="AN1" s="607"/>
      <c r="AO1" s="607"/>
      <c r="AR1" s="604" t="s">
        <v>814</v>
      </c>
      <c r="AX1" s="604" t="s">
        <v>815</v>
      </c>
      <c r="BC1" s="603" t="s">
        <v>816</v>
      </c>
      <c r="BH1" s="603" t="s">
        <v>817</v>
      </c>
      <c r="BL1" s="1395"/>
      <c r="BM1" s="1395"/>
      <c r="BN1" s="1395"/>
      <c r="BO1" s="1395"/>
      <c r="BP1" s="1395"/>
      <c r="BQ1" s="1395"/>
      <c r="BR1" s="1395"/>
      <c r="BS1" s="1395"/>
      <c r="BT1" s="1395"/>
      <c r="BU1" s="1395"/>
      <c r="CS1" s="1396" t="s">
        <v>818</v>
      </c>
      <c r="CU1" s="1504"/>
      <c r="CV1" s="1504"/>
      <c r="CW1" s="1504"/>
      <c r="DA1" s="1505" t="s">
        <v>819</v>
      </c>
      <c r="DI1" s="1506" t="s">
        <v>820</v>
      </c>
      <c r="DJ1" s="1396"/>
      <c r="DK1" s="1396"/>
      <c r="DL1" s="1396"/>
    </row>
    <row r="2" spans="1:118" ht="16.5" customHeight="1" thickBot="1">
      <c r="A2" s="605"/>
      <c r="H2" s="1235"/>
      <c r="M2" s="979" t="str">
        <f>+'II. Datos  Ganaderos'!Q2</f>
        <v>CULTIVOS</v>
      </c>
      <c r="N2" s="1035" t="str">
        <f>+'II. Datos  Ganaderos'!T2</f>
        <v>MCal/ha</v>
      </c>
      <c r="O2" s="1036" t="s">
        <v>821</v>
      </c>
      <c r="P2" s="675"/>
      <c r="S2" s="990" t="s">
        <v>822</v>
      </c>
      <c r="T2" s="964"/>
      <c r="U2" s="964"/>
      <c r="V2" s="964"/>
      <c r="W2" s="964"/>
      <c r="X2" s="965"/>
      <c r="Z2" s="990" t="s">
        <v>823</v>
      </c>
      <c r="AA2" s="991"/>
      <c r="AB2" s="991"/>
      <c r="AC2" s="991"/>
      <c r="AD2" s="991"/>
      <c r="AE2" s="992"/>
      <c r="AG2" s="994"/>
      <c r="AH2" s="982"/>
      <c r="AI2" s="1206" t="s">
        <v>7</v>
      </c>
      <c r="AK2" s="979" t="s">
        <v>16</v>
      </c>
      <c r="AL2" s="998"/>
      <c r="AM2" s="998"/>
      <c r="AN2" s="986" t="s">
        <v>7</v>
      </c>
      <c r="AO2" s="999" t="s">
        <v>7</v>
      </c>
      <c r="AX2" s="1005" t="s">
        <v>824</v>
      </c>
      <c r="AY2" s="924"/>
      <c r="AZ2" s="925"/>
      <c r="BC2" s="1022" t="s">
        <v>825</v>
      </c>
      <c r="BD2" s="982"/>
      <c r="BE2" s="995"/>
      <c r="BH2" s="1495" t="s">
        <v>826</v>
      </c>
      <c r="BI2" s="668"/>
      <c r="BJ2" s="993"/>
      <c r="BL2" s="1396" t="s">
        <v>330</v>
      </c>
      <c r="BM2" s="1396"/>
      <c r="BN2" s="1395"/>
      <c r="BO2" s="934"/>
      <c r="BP2" s="934" t="s">
        <v>9</v>
      </c>
      <c r="BQ2" s="934" t="s">
        <v>827</v>
      </c>
      <c r="BR2" s="934" t="s">
        <v>828</v>
      </c>
      <c r="BS2" s="1395"/>
      <c r="BT2" s="1395"/>
      <c r="BU2" s="1395"/>
      <c r="CS2" s="1507" t="s">
        <v>684</v>
      </c>
      <c r="CT2" s="1507" t="s">
        <v>829</v>
      </c>
      <c r="CU2" s="1504" t="s">
        <v>830</v>
      </c>
      <c r="CV2" s="1504" t="s">
        <v>831</v>
      </c>
      <c r="CW2" s="1504" t="s">
        <v>832</v>
      </c>
      <c r="CX2" s="1504" t="s">
        <v>664</v>
      </c>
      <c r="CY2" s="1395" t="s">
        <v>833</v>
      </c>
      <c r="CZ2" s="1395" t="s">
        <v>834</v>
      </c>
      <c r="DA2" s="1508" t="s">
        <v>835</v>
      </c>
      <c r="DB2" s="1509"/>
      <c r="DC2" s="1510">
        <f>('Información General'!D18+'Información General'!D20)</f>
        <v>0</v>
      </c>
      <c r="DD2" s="1511" t="s">
        <v>836</v>
      </c>
      <c r="DF2" s="1510">
        <f>'Información General'!AC63</f>
        <v>0</v>
      </c>
      <c r="DI2" s="1512" t="s">
        <v>329</v>
      </c>
      <c r="DJ2" s="1512"/>
      <c r="DK2" s="1512"/>
      <c r="DL2" s="1513" t="s">
        <v>67</v>
      </c>
      <c r="DM2" s="1512" t="s">
        <v>330</v>
      </c>
      <c r="DN2" s="1514"/>
    </row>
    <row r="3" spans="1:118" ht="16.5" customHeight="1" thickBot="1">
      <c r="A3" s="610" t="s">
        <v>837</v>
      </c>
      <c r="H3" s="1235"/>
      <c r="M3" s="966" t="str">
        <f>+'II. Datos  Ganaderos'!Q4</f>
        <v>  Base alfalfa 1er año</v>
      </c>
      <c r="N3" s="675">
        <f>IF(O3=0,0,+'II. Datos  Ganaderos'!T4)</f>
        <v>0</v>
      </c>
      <c r="O3" s="1037">
        <f>+'VII. Impresión'!BX7</f>
        <v>0</v>
      </c>
      <c r="P3" s="675"/>
      <c r="S3" s="973" t="str">
        <f>'II. Datos  Ganaderos'!Z58</f>
        <v>*Cultivos forrajeros anuales</v>
      </c>
      <c r="T3" s="972"/>
      <c r="U3" s="975" t="str">
        <f>'II. Datos  Ganaderos'!AG57</f>
        <v>$/año</v>
      </c>
      <c r="V3" s="924"/>
      <c r="W3" s="924"/>
      <c r="X3" s="975" t="s">
        <v>7</v>
      </c>
      <c r="Z3" s="971" t="str">
        <f>'II. Datos  Ganaderos'!Z58</f>
        <v>*Cultivos forrajeros anuales</v>
      </c>
      <c r="AA3" s="972"/>
      <c r="AB3" s="975" t="s">
        <v>7</v>
      </c>
      <c r="AC3" s="924"/>
      <c r="AD3" s="924"/>
      <c r="AE3" s="1204" t="s">
        <v>7</v>
      </c>
      <c r="AG3" s="926" t="str">
        <f>'Información General'!AJ3</f>
        <v>* Mantenimiento mejoras</v>
      </c>
      <c r="AH3" s="1205" t="str">
        <f>'Información General'!AK3</f>
        <v>($)</v>
      </c>
      <c r="AI3" s="1221">
        <f>'Información General'!AL3</f>
        <v>0</v>
      </c>
      <c r="AK3" s="1000" t="s">
        <v>838</v>
      </c>
      <c r="AL3" s="618"/>
      <c r="AM3" s="618"/>
      <c r="AN3" s="1241"/>
      <c r="AO3" s="1242">
        <f>+AN4+AN5+AN6</f>
        <v>0</v>
      </c>
      <c r="AR3" s="994" t="s">
        <v>839</v>
      </c>
      <c r="AS3" s="982"/>
      <c r="AT3" s="1011" t="str">
        <f>+'V. Indicadores'!D4</f>
        <v>$</v>
      </c>
      <c r="AU3" s="1012" t="str">
        <f>+'V. Indicadores'!E4</f>
        <v>%</v>
      </c>
      <c r="AX3" s="1022" t="s">
        <v>840</v>
      </c>
      <c r="AY3" s="668"/>
      <c r="AZ3" s="993"/>
      <c r="BC3" s="1125" t="s">
        <v>841</v>
      </c>
      <c r="BD3" s="1126"/>
      <c r="BE3" s="1127"/>
      <c r="BH3" s="1112" t="s">
        <v>842</v>
      </c>
      <c r="BJ3" s="996"/>
      <c r="BL3" s="1395" t="s">
        <v>337</v>
      </c>
      <c r="BM3" s="935"/>
      <c r="BN3" s="1395"/>
      <c r="BO3" s="934"/>
      <c r="BP3" s="934" t="s">
        <v>843</v>
      </c>
      <c r="BQ3" s="934" t="s">
        <v>843</v>
      </c>
      <c r="BR3" s="934" t="s">
        <v>843</v>
      </c>
      <c r="BS3" s="1395"/>
      <c r="BT3" s="1395"/>
      <c r="BU3" s="1395"/>
      <c r="CU3" s="1504" t="s">
        <v>308</v>
      </c>
      <c r="CV3" s="1504" t="s">
        <v>728</v>
      </c>
      <c r="CW3" s="1515" t="s">
        <v>256</v>
      </c>
      <c r="CX3" s="1515" t="s">
        <v>844</v>
      </c>
      <c r="DA3" s="1395" t="s">
        <v>845</v>
      </c>
      <c r="DC3" s="1510">
        <f>'VII. Impresión'!CU14</f>
        <v>0</v>
      </c>
      <c r="DD3" s="1511" t="s">
        <v>846</v>
      </c>
      <c r="DE3" s="1395" t="s">
        <v>50</v>
      </c>
      <c r="DF3" s="1516">
        <f>IF(DC12=0,0,SUM('II. Datos  Ganaderos'!R4:R12)/DC12)</f>
        <v>0</v>
      </c>
      <c r="DK3" s="1509"/>
      <c r="DL3" s="1507" t="s">
        <v>847</v>
      </c>
      <c r="DM3" s="1395" t="str">
        <f>DI4</f>
        <v>Ventas - Compras (kg)</v>
      </c>
      <c r="DN3" s="1509">
        <f>'II. Datos  Ganaderos'!AF21-'II. Datos  Ganaderos'!AF36</f>
        <v>0</v>
      </c>
    </row>
    <row r="4" spans="1:118" ht="16.5" customHeight="1" thickBot="1">
      <c r="A4" s="1086" t="s">
        <v>848</v>
      </c>
      <c r="B4" s="1087" t="s">
        <v>849</v>
      </c>
      <c r="C4" s="1088" t="s">
        <v>672</v>
      </c>
      <c r="D4" s="1089" t="s">
        <v>848</v>
      </c>
      <c r="E4" s="1087" t="s">
        <v>849</v>
      </c>
      <c r="F4" s="1088" t="s">
        <v>672</v>
      </c>
      <c r="H4" s="1236">
        <f>IF('II. Datos  Ganaderos'!AO17=0,'II. Datos  Ganaderos'!AR17,IF('II. Datos  Ganaderos'!AR17=0,'II. Datos  Ganaderos'!AO17,('II. Datos  Ganaderos'!AO17+'II. Datos  Ganaderos'!AR17)/2))</f>
        <v>0</v>
      </c>
      <c r="M4" s="966" t="str">
        <f>+'II. Datos  Ganaderos'!Q5</f>
        <v>                     2do año</v>
      </c>
      <c r="N4" s="675">
        <f>IF(O4=0,0,+'II. Datos  Ganaderos'!T5)</f>
        <v>0</v>
      </c>
      <c r="O4" s="1037">
        <f>+'VII. Impresión'!BX8</f>
        <v>0</v>
      </c>
      <c r="P4" s="675"/>
      <c r="S4" s="966" t="str">
        <f>+'II. Datos  Ganaderos'!Z59</f>
        <v>  Moha</v>
      </c>
      <c r="T4" s="675"/>
      <c r="U4" s="1216">
        <f>+'II. Datos  Ganaderos'!AG59</f>
        <v>0</v>
      </c>
      <c r="V4" s="675" t="str">
        <f>'II. Datos  Ganaderos'!Z99</f>
        <v>    Prod. Vet+Honorarios (invernada)</v>
      </c>
      <c r="W4" s="675"/>
      <c r="X4" s="1216">
        <f>'II. Datos  Ganaderos'!AG99</f>
        <v>0</v>
      </c>
      <c r="Z4" s="966" t="str">
        <f>'II. Datos  Ganaderos'!Z59</f>
        <v>  Moha</v>
      </c>
      <c r="AA4" s="675"/>
      <c r="AB4" s="1216">
        <f>+'II. Datos  Ganaderos'!AE59</f>
        <v>0</v>
      </c>
      <c r="AC4" s="675" t="str">
        <f>'II. Datos  Ganaderos'!Z100</f>
        <v>    Prod. Vet+Honorarios (tambo)</v>
      </c>
      <c r="AD4" s="675"/>
      <c r="AE4" s="1216">
        <f>'II. Datos  Ganaderos'!AE100</f>
        <v>0</v>
      </c>
      <c r="AG4" s="926" t="str">
        <f>'Información General'!AJ4</f>
        <v>* Mant.vehículos (seg-pat-rep)</v>
      </c>
      <c r="AH4" s="1205" t="str">
        <f>'Información General'!AK4</f>
        <v>($)</v>
      </c>
      <c r="AI4" s="1221">
        <f>'Información General'!AL4</f>
        <v>0</v>
      </c>
      <c r="AK4" s="966" t="s">
        <v>850</v>
      </c>
      <c r="AL4" s="608"/>
      <c r="AM4" s="608"/>
      <c r="AN4" s="1241">
        <f>+DK38</f>
        <v>0</v>
      </c>
      <c r="AO4" s="1242"/>
      <c r="AR4" s="926" t="str">
        <f>+'V. Indicadores'!B5</f>
        <v>Tierra y Mejoras</v>
      </c>
      <c r="AT4" s="1223">
        <f>+'V. Indicadores'!D5</f>
        <v>0</v>
      </c>
      <c r="AU4" s="1013">
        <f>+'V. Indicadores'!E5</f>
        <v>0</v>
      </c>
      <c r="AX4" s="926" t="str">
        <f>+'V. Indicadores'!L45</f>
        <v>Superficie total/EH</v>
      </c>
      <c r="AY4" s="612" t="str">
        <f>+'V. Indicadores'!M45</f>
        <v>Ha/EH</v>
      </c>
      <c r="AZ4" s="996">
        <f>+'V. Indicadores'!N45</f>
        <v>0</v>
      </c>
      <c r="BC4" s="927" t="s">
        <v>330</v>
      </c>
      <c r="BD4" s="978"/>
      <c r="BE4" s="997"/>
      <c r="BH4" s="926" t="s">
        <v>279</v>
      </c>
      <c r="BI4" s="612" t="s">
        <v>715</v>
      </c>
      <c r="BJ4" s="1216">
        <f>+'V. Indicadores'!AB6</f>
        <v>0</v>
      </c>
      <c r="BL4" s="1395"/>
      <c r="BM4" s="935">
        <f>'II. Datos  Ganaderos'!AG9*'II. Datos  Ganaderos'!AE9</f>
        <v>0</v>
      </c>
      <c r="BN4" s="1395"/>
      <c r="BO4" s="1398" t="s">
        <v>329</v>
      </c>
      <c r="BP4" s="934"/>
      <c r="BQ4" s="934"/>
      <c r="BR4" s="934"/>
      <c r="BS4" s="1395"/>
      <c r="BT4" s="1395"/>
      <c r="BU4" s="1395"/>
      <c r="CS4" s="1507" t="str">
        <f>+'III. Datos Agrícolas'!B3</f>
        <v>XXX</v>
      </c>
      <c r="CT4" s="1507">
        <f>+'III. Datos Agrícolas'!B4</f>
        <v>0</v>
      </c>
      <c r="CU4" s="1507">
        <f>+'III. Datos Agrícolas'!B5</f>
        <v>0</v>
      </c>
      <c r="CV4" s="1504">
        <f>+'III. Datos Agrícolas'!B90</f>
        <v>0</v>
      </c>
      <c r="CW4" s="1504">
        <f>IF('III. Datos Agrícolas'!B4=0,0,+(SUM('III. Datos Agrícolas'!D13:D24)+SUM('III. Datos Agrícolas'!D28:D39)))</f>
        <v>0</v>
      </c>
      <c r="CX4" s="1395">
        <f>SUM('III. Datos Agrícolas'!C63:C65)</f>
        <v>0</v>
      </c>
      <c r="CY4" s="1395">
        <f>+CT4*CU4/12</f>
        <v>0</v>
      </c>
      <c r="CZ4" s="1395">
        <f>IF($CT$13=0,0,+CT4/$CT$13)</f>
        <v>0</v>
      </c>
      <c r="DA4" s="1395" t="s">
        <v>851</v>
      </c>
      <c r="DC4" s="1395">
        <f>+DC12+DF12</f>
        <v>0</v>
      </c>
      <c r="DD4" s="1395" t="s">
        <v>852</v>
      </c>
      <c r="DF4" s="1395">
        <f>IF(DF12=0,0,SUM('II. Datos  Ganaderos'!R62:R70)/DF12)</f>
        <v>0</v>
      </c>
      <c r="DI4" s="1508" t="s">
        <v>853</v>
      </c>
      <c r="DL4" s="1509">
        <f>+'II. Datos  Ganaderos'!AB21-'II. Datos  Ganaderos'!AB36</f>
        <v>0</v>
      </c>
      <c r="DM4" s="1395" t="str">
        <f>DI5</f>
        <v>Diferencia Inventario (kg)</v>
      </c>
      <c r="DN4" s="1395">
        <f>'II. Datos  Ganaderos'!AR53+'II. Datos  Ganaderos'!AR58</f>
        <v>0</v>
      </c>
    </row>
    <row r="5" spans="1:118" ht="16.5" customHeight="1" thickBot="1">
      <c r="A5" s="1090" t="s">
        <v>329</v>
      </c>
      <c r="B5" s="1091" t="s">
        <v>854</v>
      </c>
      <c r="C5" s="1092" t="s">
        <v>855</v>
      </c>
      <c r="D5" s="1093" t="s">
        <v>856</v>
      </c>
      <c r="E5" s="1091" t="s">
        <v>854</v>
      </c>
      <c r="F5" s="1092" t="s">
        <v>855</v>
      </c>
      <c r="H5" s="1236">
        <f>IF('II. Datos  Ganaderos'!AO18=0,'II. Datos  Ganaderos'!AR18,IF('II. Datos  Ganaderos'!AR18=0,'II. Datos  Ganaderos'!AO18,('II. Datos  Ganaderos'!AO18+'II. Datos  Ganaderos'!AR18)/2))</f>
        <v>0</v>
      </c>
      <c r="M5" s="966" t="str">
        <f>+'II. Datos  Ganaderos'!Q6</f>
        <v>                     3er año</v>
      </c>
      <c r="N5" s="675">
        <f>IF(O5=0,0,+'II. Datos  Ganaderos'!T6)</f>
        <v>0</v>
      </c>
      <c r="O5" s="1037">
        <f>+'VII. Impresión'!BX9</f>
        <v>0</v>
      </c>
      <c r="P5" s="675"/>
      <c r="S5" s="966" t="str">
        <f>+'II. Datos  Ganaderos'!Z60</f>
        <v>  Sorgo forrajero</v>
      </c>
      <c r="T5" s="675"/>
      <c r="U5" s="1216">
        <f>'II. Datos  Ganaderos'!AG60</f>
        <v>0</v>
      </c>
      <c r="V5" s="1352" t="str">
        <f>'II. Datos  Ganaderos'!Z106</f>
        <v>*Mano de obra</v>
      </c>
      <c r="W5" s="675"/>
      <c r="X5" s="1216"/>
      <c r="Z5" s="966" t="str">
        <f>'II. Datos  Ganaderos'!Z60</f>
        <v>  Sorgo forrajero</v>
      </c>
      <c r="AA5" s="675"/>
      <c r="AB5" s="1216">
        <f>'II. Datos  Ganaderos'!AE60</f>
        <v>0</v>
      </c>
      <c r="AC5" s="675" t="str">
        <f>'II. Datos  Ganaderos'!Z101</f>
        <v>* Inseminacion artificial (tambo)</v>
      </c>
      <c r="AD5" s="675"/>
      <c r="AE5" s="1216">
        <f>'II. Datos  Ganaderos'!AE101</f>
        <v>0</v>
      </c>
      <c r="AG5" s="926" t="str">
        <f>'Información General'!AJ5</f>
        <v>* Combustibles vehículo</v>
      </c>
      <c r="AH5" s="1205" t="str">
        <f>'Información General'!AK5</f>
        <v>($)</v>
      </c>
      <c r="AI5" s="1221">
        <f>'Información General'!AL5</f>
        <v>0</v>
      </c>
      <c r="AK5" s="966" t="s">
        <v>857</v>
      </c>
      <c r="AL5" s="607"/>
      <c r="AM5" s="618"/>
      <c r="AN5" s="1241">
        <f>'VII. Impresión'!DK39</f>
        <v>0</v>
      </c>
      <c r="AO5" s="1242"/>
      <c r="AR5" s="926" t="str">
        <f>+'V. Indicadores'!B6</f>
        <v>Maquinarias y Equipos</v>
      </c>
      <c r="AT5" s="1223">
        <f>+'V. Indicadores'!D6</f>
        <v>0</v>
      </c>
      <c r="AU5" s="1013">
        <f>+'V. Indicadores'!E6</f>
        <v>0</v>
      </c>
      <c r="AX5" s="926" t="str">
        <f>+'V. Indicadores'!L46</f>
        <v>Cabezas totales/EH</v>
      </c>
      <c r="AY5" s="612" t="str">
        <f>+'V. Indicadores'!M46</f>
        <v>Cab/EH</v>
      </c>
      <c r="AZ5" s="996">
        <f>+'V. Indicadores'!N46</f>
        <v>0</v>
      </c>
      <c r="BA5" s="602" t="str">
        <f>+'V. Indicadores'!O45</f>
        <v> </v>
      </c>
      <c r="BC5" s="1133" t="str">
        <f>+'V. Indicadores'!T43</f>
        <v>Superf. Efectiva praderas / sup.efect.invernada</v>
      </c>
      <c r="BD5" s="612"/>
      <c r="BE5" s="1134">
        <f>+'V. Indicadores'!V43</f>
        <v>0</v>
      </c>
      <c r="BH5" s="926" t="str">
        <f>+'V. Indicadores'!Z7</f>
        <v>Productividad  rodeo tambo</v>
      </c>
      <c r="BI5" s="612" t="str">
        <f>+'V. Indicadores'!AA7</f>
        <v>kgr GB/VT</v>
      </c>
      <c r="BJ5" s="996">
        <f>+'V. Indicadores'!AB7</f>
        <v>0</v>
      </c>
      <c r="BL5" s="1395"/>
      <c r="BM5" s="935">
        <f>'II. Datos  Ganaderos'!AG10*'II. Datos  Ganaderos'!AE10</f>
        <v>0</v>
      </c>
      <c r="BN5" s="1395"/>
      <c r="BO5" s="934" t="str">
        <f>'II. Datos  Ganaderos'!AL6</f>
        <v>     Vaca ordeño</v>
      </c>
      <c r="BP5" s="934">
        <f>'II. Datos  Ganaderos'!AN6*'II. Datos  Ganaderos'!AO6</f>
        <v>0</v>
      </c>
      <c r="BQ5" s="934">
        <f>'II. Datos  Ganaderos'!AQ6*'II. Datos  Ganaderos'!AR6</f>
        <v>0</v>
      </c>
      <c r="BR5" s="934">
        <f aca="true" t="shared" si="0" ref="BR5:BR13">BQ5-BP5</f>
        <v>0</v>
      </c>
      <c r="BS5" s="1395"/>
      <c r="BT5" s="1398" t="s">
        <v>858</v>
      </c>
      <c r="BU5" s="1536" t="s">
        <v>859</v>
      </c>
      <c r="CS5" s="1507" t="str">
        <f>+'III. Datos Agrícolas'!G3</f>
        <v>XXX</v>
      </c>
      <c r="CT5" s="1507">
        <f>+'III. Datos Agrícolas'!G4</f>
        <v>0</v>
      </c>
      <c r="CU5" s="1507">
        <f>+'III. Datos Agrícolas'!G5</f>
        <v>0</v>
      </c>
      <c r="CV5" s="1504">
        <f>+'III. Datos Agrícolas'!G90</f>
        <v>0</v>
      </c>
      <c r="CW5" s="1504">
        <f>IF('III. Datos Agrícolas'!G4=0,0,+(SUM('III. Datos Agrícolas'!I13:I24)+SUM('III. Datos Agrícolas'!I28:I39)))</f>
        <v>0</v>
      </c>
      <c r="CX5" s="1395">
        <f>SUM('III. Datos Agrícolas'!H63:H65)</f>
        <v>0</v>
      </c>
      <c r="CY5" s="1395">
        <f aca="true" t="shared" si="1" ref="CY5:CY12">+CT5*CU5/12</f>
        <v>0</v>
      </c>
      <c r="CZ5" s="1395">
        <f aca="true" t="shared" si="2" ref="CZ5:CZ12">IF($CT$13=0,0,+CT5/$CT$13)</f>
        <v>0</v>
      </c>
      <c r="DA5" s="1511" t="s">
        <v>860</v>
      </c>
      <c r="DC5" s="1510">
        <f>+'Información General'!N42</f>
        <v>0</v>
      </c>
      <c r="DI5" s="1508" t="s">
        <v>861</v>
      </c>
      <c r="DJ5" s="1509"/>
      <c r="DL5" s="1509">
        <f>+'II. Datos  Ganaderos'!AR44</f>
        <v>0</v>
      </c>
      <c r="DM5" s="1395" t="str">
        <f>DI6</f>
        <v>Producción carne (kg)</v>
      </c>
      <c r="DN5" s="1395">
        <f>DN3+DN4</f>
        <v>0</v>
      </c>
    </row>
    <row r="6" spans="1:118" ht="16.5" customHeight="1">
      <c r="A6" s="1072"/>
      <c r="B6" s="1073"/>
      <c r="C6" s="1079"/>
      <c r="D6" s="1074" t="str">
        <f>'II. Datos  Ganaderos'!AL17</f>
        <v>Novillos</v>
      </c>
      <c r="E6" s="1073">
        <f>'II. Datos  Ganaderos'!AN46</f>
        <v>0</v>
      </c>
      <c r="F6" s="1075">
        <f>'II. Datos  Ganaderos'!AM46</f>
        <v>0</v>
      </c>
      <c r="H6" s="1236">
        <f>IF('II. Datos  Ganaderos'!AO19=0,'II. Datos  Ganaderos'!AR19,IF('II. Datos  Ganaderos'!AR19=0,'II. Datos  Ganaderos'!AO19,('II. Datos  Ganaderos'!AO19+'II. Datos  Ganaderos'!AR19)/2))</f>
        <v>0</v>
      </c>
      <c r="M6" s="966" t="str">
        <f>+'II. Datos  Ganaderos'!Q7</f>
        <v>                    4to año</v>
      </c>
      <c r="N6" s="675">
        <f>IF(O6=0,0,+'II. Datos  Ganaderos'!T7)</f>
        <v>0</v>
      </c>
      <c r="O6" s="1037">
        <f>+'VII. Impresión'!BX10</f>
        <v>0</v>
      </c>
      <c r="P6" s="675"/>
      <c r="S6" s="966" t="str">
        <f>+'II. Datos  Ganaderos'!Z61</f>
        <v>  Silo Maiz</v>
      </c>
      <c r="T6" s="675"/>
      <c r="U6" s="1216">
        <f>'II. Datos  Ganaderos'!AG61</f>
        <v>0</v>
      </c>
      <c r="V6" s="675" t="str">
        <f>+'II. Datos  Ganaderos'!Z109</f>
        <v>  Personal  contratado</v>
      </c>
      <c r="W6" s="675"/>
      <c r="X6" s="1216">
        <f>+'II. Datos  Ganaderos'!AG109</f>
        <v>0</v>
      </c>
      <c r="Z6" s="966" t="str">
        <f>'II. Datos  Ganaderos'!Z61</f>
        <v>  Silo Maiz</v>
      </c>
      <c r="AA6" s="675"/>
      <c r="AB6" s="1216">
        <f>'II. Datos  Ganaderos'!AE61</f>
        <v>0</v>
      </c>
      <c r="AC6" s="675" t="str">
        <f>'II. Datos  Ganaderos'!Z102</f>
        <v>* Higiene  tambo</v>
      </c>
      <c r="AD6" s="675"/>
      <c r="AE6" s="1216">
        <f>'II. Datos  Ganaderos'!AE102</f>
        <v>0</v>
      </c>
      <c r="AG6" s="926" t="str">
        <f>'Información General'!AJ6</f>
        <v>* Impuestos</v>
      </c>
      <c r="AH6" s="1205" t="str">
        <f>'Información General'!AK6</f>
        <v>($)</v>
      </c>
      <c r="AI6" s="1221">
        <f>'Información General'!AL6</f>
        <v>0</v>
      </c>
      <c r="AK6" s="966" t="s">
        <v>862</v>
      </c>
      <c r="AL6" s="607"/>
      <c r="AM6" s="1311">
        <f>IF('II. Datos  Ganaderos'!AA19=0,'II. Datos  Ganaderos'!AA34,IF('II. Datos  Ganaderos'!AA19=0,'II. Datos  Ganaderos'!AA34,('II. Datos  Ganaderos'!AA19+'II. Datos  Ganaderos'!AA34)/2))</f>
        <v>0</v>
      </c>
      <c r="AN6" s="1241">
        <f>+'VII. Impresión'!BU15</f>
        <v>0</v>
      </c>
      <c r="AO6" s="1242"/>
      <c r="AR6" s="926" t="str">
        <f>+'V. Indicadores'!B7</f>
        <v>Hacienda</v>
      </c>
      <c r="AT6" s="1223">
        <f>+'V. Indicadores'!D7</f>
        <v>0</v>
      </c>
      <c r="AU6" s="1248">
        <f>+'V. Indicadores'!E7</f>
        <v>0</v>
      </c>
      <c r="AX6" s="926" t="str">
        <f>+'V. Indicadores'!L47</f>
        <v>Hp/SAU</v>
      </c>
      <c r="AY6" s="612" t="str">
        <f>+'V. Indicadores'!M47</f>
        <v>Hp/Ha</v>
      </c>
      <c r="AZ6" s="1020">
        <f>+'V. Indicadores'!N47</f>
        <v>0</v>
      </c>
      <c r="BC6" s="1133" t="str">
        <f>+'V. Indicadores'!T44</f>
        <v>Superf. Efectiva campo natural / sup.efect.invernada</v>
      </c>
      <c r="BD6" s="612"/>
      <c r="BE6" s="1134">
        <f>+'V. Indicadores'!V44</f>
        <v>0</v>
      </c>
      <c r="BH6" s="926" t="str">
        <f>+'V. Indicadores'!Z8</f>
        <v>Productividad  rodeo tambo</v>
      </c>
      <c r="BI6" s="612" t="str">
        <f>+'V. Indicadores'!AA8</f>
        <v>kgr GB/SupVT</v>
      </c>
      <c r="BJ6" s="996">
        <f>+'V. Indicadores'!AB8</f>
        <v>0</v>
      </c>
      <c r="BL6" s="1395"/>
      <c r="BM6" s="935">
        <f>'II. Datos  Ganaderos'!AG11*'II. Datos  Ganaderos'!AE11</f>
        <v>0</v>
      </c>
      <c r="BN6" s="1395"/>
      <c r="BO6" s="934" t="str">
        <f>'II. Datos  Ganaderos'!AL7</f>
        <v>     Vaca seca</v>
      </c>
      <c r="BP6" s="934">
        <f>'II. Datos  Ganaderos'!AN7*'II. Datos  Ganaderos'!AO7</f>
        <v>0</v>
      </c>
      <c r="BQ6" s="934">
        <f>'II. Datos  Ganaderos'!AQ7*'II. Datos  Ganaderos'!AR7</f>
        <v>0</v>
      </c>
      <c r="BR6" s="934">
        <f t="shared" si="0"/>
        <v>0</v>
      </c>
      <c r="BS6" s="1395"/>
      <c r="BT6" s="1395"/>
      <c r="BU6" s="935">
        <f>('II. Datos  Ganaderos'!AQ6*'II. Datos  Ganaderos'!AS6)-('II. Datos  Ganaderos'!AN6*'II. Datos  Ganaderos'!AP6)</f>
        <v>0</v>
      </c>
      <c r="BX6" s="1395" t="s">
        <v>863</v>
      </c>
      <c r="BY6" s="1395" t="s">
        <v>864</v>
      </c>
      <c r="CS6" s="1507" t="str">
        <f>+'III. Datos Agrícolas'!L3</f>
        <v>XXX</v>
      </c>
      <c r="CT6" s="1507">
        <f>+'III. Datos Agrícolas'!L4</f>
        <v>0</v>
      </c>
      <c r="CU6" s="1507">
        <f>+'III. Datos Agrícolas'!L5</f>
        <v>0</v>
      </c>
      <c r="CV6" s="1504">
        <f>+'III. Datos Agrícolas'!L90</f>
        <v>0</v>
      </c>
      <c r="CW6" s="1504">
        <f>IF('III. Datos Agrícolas'!L4=0,0,+(SUM('III. Datos Agrícolas'!N13:N24)+SUM('III. Datos Agrícolas'!N28:N39)))</f>
        <v>0</v>
      </c>
      <c r="CX6" s="1395">
        <f>SUM('III. Datos Agrícolas'!M63:M65)</f>
        <v>0</v>
      </c>
      <c r="CY6" s="1395">
        <f t="shared" si="1"/>
        <v>0</v>
      </c>
      <c r="CZ6" s="1395">
        <f t="shared" si="2"/>
        <v>0</v>
      </c>
      <c r="DA6" s="1508" t="s">
        <v>865</v>
      </c>
      <c r="DC6" s="1510">
        <f>IF(DC2=0,0,'Información General'!X11/DC2)</f>
        <v>0</v>
      </c>
      <c r="DI6" s="1508" t="s">
        <v>866</v>
      </c>
      <c r="DL6" s="1509">
        <f>DL4+DL5</f>
        <v>0</v>
      </c>
      <c r="DM6" s="1395" t="str">
        <f>DI7</f>
        <v>Producción carne (kg/ha tambo)</v>
      </c>
      <c r="DN6" s="1395">
        <f>IF('VII. Impresión'!DF12=0,0,DN5/'VII. Impresión'!DF12)</f>
        <v>0</v>
      </c>
    </row>
    <row r="7" spans="1:118" ht="16.5" customHeight="1">
      <c r="A7" s="1002" t="str">
        <f>'II. Datos  Ganaderos'!AL6</f>
        <v>     Vaca ordeño</v>
      </c>
      <c r="B7" s="677">
        <f>'II. Datos  Ganaderos'!AN35</f>
        <v>0</v>
      </c>
      <c r="C7" s="1001">
        <f>'II. Datos  Ganaderos'!AM35</f>
        <v>0</v>
      </c>
      <c r="D7" s="618" t="str">
        <f>'II. Datos  Ganaderos'!AL18</f>
        <v>Novillitos</v>
      </c>
      <c r="E7" s="677">
        <f>'II. Datos  Ganaderos'!AN47</f>
        <v>0</v>
      </c>
      <c r="F7" s="967">
        <f>'II. Datos  Ganaderos'!AM47</f>
        <v>0</v>
      </c>
      <c r="H7" s="1236">
        <f>IF('II. Datos  Ganaderos'!AO20=0,'II. Datos  Ganaderos'!AR20,IF('II. Datos  Ganaderos'!AR20=0,'II. Datos  Ganaderos'!AO20,('II. Datos  Ganaderos'!AO20+'II. Datos  Ganaderos'!AR20)/2))</f>
        <v>0</v>
      </c>
      <c r="M7" s="966" t="str">
        <f>+'II. Datos  Ganaderos'!Q8</f>
        <v>.....................</v>
      </c>
      <c r="N7" s="675">
        <f>IF(O7=0,0,+'II. Datos  Ganaderos'!T8)</f>
        <v>0</v>
      </c>
      <c r="O7" s="1037">
        <f>+'VII. Impresión'!BX11</f>
        <v>0</v>
      </c>
      <c r="P7" s="675"/>
      <c r="Q7" s="675"/>
      <c r="S7" s="966" t="str">
        <f>'II. Datos  Ganaderos'!Z62</f>
        <v>  Silo Sorgo</v>
      </c>
      <c r="T7" s="675"/>
      <c r="U7" s="1216">
        <f>'II. Datos  Ganaderos'!AG62</f>
        <v>0</v>
      </c>
      <c r="V7" s="675" t="str">
        <f>+'II. Datos  Ganaderos'!Z110</f>
        <v>  Familiar</v>
      </c>
      <c r="W7" s="675"/>
      <c r="X7" s="1216">
        <f>+'II. Datos  Ganaderos'!AG110</f>
        <v>0</v>
      </c>
      <c r="Z7" s="966" t="str">
        <f>'II. Datos  Ganaderos'!Z62</f>
        <v>  Silo Sorgo</v>
      </c>
      <c r="AA7" s="675"/>
      <c r="AB7" s="1216">
        <f>'II. Datos  Ganaderos'!AE62</f>
        <v>0</v>
      </c>
      <c r="AC7" s="675" t="str">
        <f>'II. Datos  Ganaderos'!Z103</f>
        <v>* Energía eléctrica ordeño</v>
      </c>
      <c r="AD7" s="675"/>
      <c r="AE7" s="1216">
        <f>'II. Datos  Ganaderos'!AE103</f>
        <v>0</v>
      </c>
      <c r="AG7" s="926"/>
      <c r="AH7" s="1205"/>
      <c r="AI7" s="1221"/>
      <c r="AK7" s="1000" t="s">
        <v>867</v>
      </c>
      <c r="AL7" s="608"/>
      <c r="AM7" s="608"/>
      <c r="AN7" s="1241"/>
      <c r="AO7" s="1242">
        <f>+AN8+AN9</f>
        <v>0</v>
      </c>
      <c r="AR7" s="926" t="str">
        <f>+'V. Indicadores'!B8</f>
        <v>Circulante</v>
      </c>
      <c r="AT7" s="1223">
        <f>+'V. Indicadores'!D8</f>
        <v>0</v>
      </c>
      <c r="AU7" s="1013">
        <f>+'V. Indicadores'!E8</f>
        <v>0</v>
      </c>
      <c r="AX7" s="926" t="str">
        <f>+'V. Indicadores'!L48</f>
        <v>Superficie arrendada/SAU</v>
      </c>
      <c r="AY7" s="612" t="str">
        <f>+'V. Indicadores'!M48</f>
        <v>%</v>
      </c>
      <c r="AZ7" s="1006">
        <f>+'V. Indicadores'!N48</f>
        <v>0</v>
      </c>
      <c r="BC7" s="1133" t="str">
        <f>+'V. Indicadores'!T45</f>
        <v>Receptividad</v>
      </c>
      <c r="BD7" s="612"/>
      <c r="BE7" s="1134">
        <f>+'V. Indicadores'!V45</f>
        <v>0</v>
      </c>
      <c r="BH7" s="926" t="str">
        <f>+'V. Indicadores'!Z9</f>
        <v>Productividad  rodeo tambo</v>
      </c>
      <c r="BI7" s="612" t="str">
        <f>+'V. Indicadores'!AA9</f>
        <v>kgr GB/Sup Efectiva Tambo</v>
      </c>
      <c r="BJ7" s="996">
        <f>+'V. Indicadores'!AB9</f>
        <v>0</v>
      </c>
      <c r="BL7" s="1395"/>
      <c r="BM7" s="935">
        <f>'II. Datos  Ganaderos'!AG12*'II. Datos  Ganaderos'!AE12</f>
        <v>0</v>
      </c>
      <c r="BN7" s="1395"/>
      <c r="BO7" s="934" t="str">
        <f>'II. Datos  Ganaderos'!AL8</f>
        <v>     Vaquillonas preñadas</v>
      </c>
      <c r="BP7" s="934">
        <f>'II. Datos  Ganaderos'!AN8*'II. Datos  Ganaderos'!AO8</f>
        <v>0</v>
      </c>
      <c r="BQ7" s="934">
        <f>'II. Datos  Ganaderos'!AQ8*'II. Datos  Ganaderos'!AR8</f>
        <v>0</v>
      </c>
      <c r="BR7" s="934">
        <f t="shared" si="0"/>
        <v>0</v>
      </c>
      <c r="BS7" s="1395"/>
      <c r="BT7" s="1395"/>
      <c r="BU7" s="935">
        <f>('II. Datos  Ganaderos'!AQ7*'II. Datos  Ganaderos'!AS7)-('II. Datos  Ganaderos'!AN7*'II. Datos  Ganaderos'!AP7)</f>
        <v>0</v>
      </c>
      <c r="BW7" s="1395" t="str">
        <f>+'II. Datos  Ganaderos'!Q4</f>
        <v>  Base alfalfa 1er año</v>
      </c>
      <c r="BX7" s="934">
        <f>'II. Datos  Ganaderos'!R4*'II. Datos  Ganaderos'!S4/12</f>
        <v>0</v>
      </c>
      <c r="BY7" s="934">
        <f>'II. Datos  Ganaderos'!R62*'II. Datos  Ganaderos'!S62/12</f>
        <v>0</v>
      </c>
      <c r="CS7" s="1504" t="str">
        <f>+'III. Datos Agrícolas'!Q3</f>
        <v>XXX</v>
      </c>
      <c r="CT7" s="1504">
        <f>+'III. Datos Agrícolas'!Q4</f>
        <v>0</v>
      </c>
      <c r="CU7" s="1507">
        <f>+'III. Datos Agrícolas'!Q5</f>
        <v>0</v>
      </c>
      <c r="CV7" s="1504">
        <f>+'III. Datos Agrícolas'!Q90</f>
        <v>0</v>
      </c>
      <c r="CW7" s="1504">
        <f>IF('III. Datos Agrícolas'!Q4=0,0,+(SUM('III. Datos Agrícolas'!S13:S24)+SUM('III. Datos Agrícolas'!S28:S39)))</f>
        <v>0</v>
      </c>
      <c r="CX7" s="1395">
        <f>SUM('III. Datos Agrícolas'!R63:R65)</f>
        <v>0</v>
      </c>
      <c r="CY7" s="1395">
        <f t="shared" si="1"/>
        <v>0</v>
      </c>
      <c r="CZ7" s="1395">
        <f t="shared" si="2"/>
        <v>0</v>
      </c>
      <c r="DA7" s="1508" t="s">
        <v>868</v>
      </c>
      <c r="DC7" s="1510">
        <f>'II. Datos  Ganaderos'!AN59</f>
        <v>0</v>
      </c>
      <c r="DI7" s="1508" t="s">
        <v>869</v>
      </c>
      <c r="DL7" s="1509">
        <f>IF(DC12=0,0,DL6/DC12)</f>
        <v>0</v>
      </c>
      <c r="DM7" s="1508" t="s">
        <v>870</v>
      </c>
      <c r="DN7" s="1395">
        <f>IF('VII. Impresión'!DE31=0,0,+'II. Datos  Ganaderos'!U92/'VII. Impresión'!DE31)</f>
        <v>0</v>
      </c>
    </row>
    <row r="8" spans="1:118" ht="16.5" customHeight="1" thickBot="1">
      <c r="A8" s="1002" t="str">
        <f>'II. Datos  Ganaderos'!AL7</f>
        <v>     Vaca seca</v>
      </c>
      <c r="B8" s="677">
        <f>'II. Datos  Ganaderos'!AN36</f>
        <v>0</v>
      </c>
      <c r="C8" s="1001">
        <f>'II. Datos  Ganaderos'!AM36</f>
        <v>0</v>
      </c>
      <c r="D8" s="618" t="str">
        <f>'II. Datos  Ganaderos'!AL19</f>
        <v>Terneros</v>
      </c>
      <c r="E8" s="677">
        <f>'II. Datos  Ganaderos'!AN48</f>
        <v>0</v>
      </c>
      <c r="F8" s="967">
        <f>'II. Datos  Ganaderos'!AM48</f>
        <v>0</v>
      </c>
      <c r="H8" s="1236">
        <f>IF('II. Datos  Ganaderos'!AO21=0,'II. Datos  Ganaderos'!AR21,IF('II. Datos  Ganaderos'!AR21=0,'II. Datos  Ganaderos'!AO21,('II. Datos  Ganaderos'!AO21+'II. Datos  Ganaderos'!AR21)/2))</f>
        <v>0</v>
      </c>
      <c r="M8" s="966" t="str">
        <f>+'II. Datos  Ganaderos'!Q9</f>
        <v> Base festuca 1er año</v>
      </c>
      <c r="N8" s="675">
        <f>IF(O8=0,0,+'II. Datos  Ganaderos'!T9)</f>
        <v>0</v>
      </c>
      <c r="O8" s="1037">
        <f>+'VII. Impresión'!BX12</f>
        <v>0</v>
      </c>
      <c r="P8" s="678"/>
      <c r="Q8" s="675"/>
      <c r="S8" s="966" t="str">
        <f>'II. Datos  Ganaderos'!Z63</f>
        <v>  Otro cultivo para silo</v>
      </c>
      <c r="T8" s="675"/>
      <c r="U8" s="1216">
        <f>'II. Datos  Ganaderos'!AG63</f>
        <v>0</v>
      </c>
      <c r="V8" s="675" t="str">
        <f>'II. Datos  Ganaderos'!Z112</f>
        <v>*Gastos de comercializac y transporte</v>
      </c>
      <c r="W8" s="675"/>
      <c r="X8" s="1216"/>
      <c r="Z8" s="966" t="str">
        <f>'II. Datos  Ganaderos'!Z63</f>
        <v>  Otro cultivo para silo</v>
      </c>
      <c r="AA8" s="675"/>
      <c r="AB8" s="1216">
        <f>'II. Datos  Ganaderos'!AE63</f>
        <v>0</v>
      </c>
      <c r="AC8" s="675" t="str">
        <f>'II. Datos  Ganaderos'!Z104</f>
        <v>* Mantenimiento equipos ordeño</v>
      </c>
      <c r="AD8" s="675"/>
      <c r="AE8" s="1216">
        <f>'II. Datos  Ganaderos'!AE104</f>
        <v>0</v>
      </c>
      <c r="AG8" s="926" t="str">
        <f>'Información General'!AJ7</f>
        <v>* Energía eléctrica</v>
      </c>
      <c r="AH8" s="1205" t="str">
        <f>'Información General'!AK7</f>
        <v>($)</v>
      </c>
      <c r="AI8" s="1221">
        <f>'Información General'!AL7</f>
        <v>0</v>
      </c>
      <c r="AK8" s="977" t="s">
        <v>857</v>
      </c>
      <c r="AL8" s="608"/>
      <c r="AM8" s="608"/>
      <c r="AN8" s="1243">
        <f>'II. Datos  Ganaderos'!AG22-'II. Datos  Ganaderos'!AG37</f>
        <v>0</v>
      </c>
      <c r="AO8" s="1242"/>
      <c r="AR8" s="926"/>
      <c r="AS8" s="608" t="str">
        <f>+'V. Indicadores'!C9</f>
        <v>Total</v>
      </c>
      <c r="AT8" s="1223">
        <f>+'V. Indicadores'!D9</f>
        <v>0</v>
      </c>
      <c r="AU8" s="1014"/>
      <c r="AX8" s="926" t="str">
        <f>+'V. Indicadores'!L49</f>
        <v>Superficie ganadera/SAU</v>
      </c>
      <c r="AY8" s="612" t="str">
        <f>+'V. Indicadores'!M49</f>
        <v>%</v>
      </c>
      <c r="AZ8" s="1006">
        <f>+'V. Indicadores'!N49</f>
        <v>0</v>
      </c>
      <c r="BC8" s="1133" t="str">
        <f>+'V. Indicadores'!T46</f>
        <v>Carga Animal/ha  invernada</v>
      </c>
      <c r="BD8" s="612" t="str">
        <f>+'V. Indicadores'!U46</f>
        <v>EV/ha</v>
      </c>
      <c r="BE8" s="1134">
        <f>+'V. Indicadores'!V46</f>
        <v>0</v>
      </c>
      <c r="BH8" s="926" t="str">
        <f>+'V. Indicadores'!Z10</f>
        <v>Productividad  rodeo tambo</v>
      </c>
      <c r="BI8" s="612" t="str">
        <f>+'V. Indicadores'!AA10</f>
        <v>kg carne/ha ganadera</v>
      </c>
      <c r="BJ8" s="996">
        <f>+'V. Indicadores'!AB10</f>
        <v>0</v>
      </c>
      <c r="BL8" s="1395"/>
      <c r="BM8" s="935">
        <f>SUM(BM4:BM7)</f>
        <v>0</v>
      </c>
      <c r="BN8" s="1395"/>
      <c r="BO8" s="934" t="str">
        <f>'II. Datos  Ganaderos'!AL9</f>
        <v>     Vaquillonas en servicio</v>
      </c>
      <c r="BP8" s="934">
        <f>'II. Datos  Ganaderos'!AN9*'II. Datos  Ganaderos'!AO9</f>
        <v>0</v>
      </c>
      <c r="BQ8" s="934">
        <f>'II. Datos  Ganaderos'!AQ9*'II. Datos  Ganaderos'!AR9</f>
        <v>0</v>
      </c>
      <c r="BR8" s="934">
        <f t="shared" si="0"/>
        <v>0</v>
      </c>
      <c r="BS8" s="1395"/>
      <c r="BT8" s="1395"/>
      <c r="BU8" s="935">
        <f>('II. Datos  Ganaderos'!AQ8*'II. Datos  Ganaderos'!AS8)-('II. Datos  Ganaderos'!AN8*'II. Datos  Ganaderos'!AP8)</f>
        <v>0</v>
      </c>
      <c r="BW8" s="1395" t="str">
        <f>+'II. Datos  Ganaderos'!Q5</f>
        <v>                     2do año</v>
      </c>
      <c r="BX8" s="934">
        <f>'II. Datos  Ganaderos'!R5*'II. Datos  Ganaderos'!S5/12</f>
        <v>0</v>
      </c>
      <c r="BY8" s="934">
        <f>'II. Datos  Ganaderos'!R63*'II. Datos  Ganaderos'!S63/12</f>
        <v>0</v>
      </c>
      <c r="CS8" s="1507" t="str">
        <f>+'III. Datos Agrícolas'!V3</f>
        <v>XXX</v>
      </c>
      <c r="CT8" s="1507">
        <f>+'III. Datos Agrícolas'!V4</f>
        <v>0</v>
      </c>
      <c r="CU8" s="1507">
        <f>+'III. Datos Agrícolas'!V5</f>
        <v>0</v>
      </c>
      <c r="CV8" s="1507">
        <f>+'III. Datos Agrícolas'!V90</f>
        <v>0</v>
      </c>
      <c r="CW8" s="1504">
        <f>IF('III. Datos Agrícolas'!V4=0,0,+(SUM('III. Datos Agrícolas'!X13:X24)+SUM('III. Datos Agrícolas'!X28:X39)))</f>
        <v>0</v>
      </c>
      <c r="CX8" s="1395">
        <f>SUM('III. Datos Agrícolas'!W63:W65)</f>
        <v>0</v>
      </c>
      <c r="CY8" s="1395">
        <f t="shared" si="1"/>
        <v>0</v>
      </c>
      <c r="CZ8" s="1395">
        <f t="shared" si="2"/>
        <v>0</v>
      </c>
      <c r="DA8" s="1508" t="s">
        <v>222</v>
      </c>
      <c r="DB8" s="1508" t="s">
        <v>727</v>
      </c>
      <c r="DC8" s="1510">
        <f>IF(DC2=0,0,('II. Datos  Ganaderos'!S25+'II. Datos  Ganaderos'!S83)/DC4)</f>
        <v>0</v>
      </c>
      <c r="DI8" s="1517" t="s">
        <v>871</v>
      </c>
      <c r="DL8" s="1509">
        <f>+'II. Datos  Ganaderos'!E6+DL13</f>
        <v>0</v>
      </c>
      <c r="DM8" s="1395" t="s">
        <v>872</v>
      </c>
      <c r="DN8" s="1395">
        <f>IF(DN5=0,0,+'II. Datos  Ganaderos'!U92/DN5)</f>
        <v>0</v>
      </c>
    </row>
    <row r="9" spans="1:118" ht="16.5" customHeight="1">
      <c r="A9" s="1002" t="str">
        <f>'II. Datos  Ganaderos'!AL8</f>
        <v>     Vaquillonas preñadas</v>
      </c>
      <c r="B9" s="677">
        <f>'II. Datos  Ganaderos'!AN37</f>
        <v>0</v>
      </c>
      <c r="C9" s="1001">
        <f>'II. Datos  Ganaderos'!AM37</f>
        <v>0</v>
      </c>
      <c r="D9" s="618" t="str">
        <f>'II. Datos  Ganaderos'!AL20</f>
        <v>Vaquillonas</v>
      </c>
      <c r="E9" s="677">
        <f>'II. Datos  Ganaderos'!AN49</f>
        <v>0</v>
      </c>
      <c r="F9" s="967">
        <f>'II. Datos  Ganaderos'!AM49</f>
        <v>0</v>
      </c>
      <c r="H9" s="1236"/>
      <c r="M9" s="966" t="str">
        <f>+'II. Datos  Ganaderos'!Q10</f>
        <v>                     2do año</v>
      </c>
      <c r="N9" s="675">
        <f>IF(O9=0,0,+'II. Datos  Ganaderos'!T10)</f>
        <v>0</v>
      </c>
      <c r="O9" s="1037">
        <f>+'VII. Impresión'!BX13</f>
        <v>0</v>
      </c>
      <c r="P9" s="1138" t="s">
        <v>873</v>
      </c>
      <c r="Q9" s="1139">
        <f>('II. Datos  Ganaderos'!R4*'II. Datos  Ganaderos'!S4+'II. Datos  Ganaderos'!R5*'II. Datos  Ganaderos'!S5+'II. Datos  Ganaderos'!R6*'II. Datos  Ganaderos'!S6+'II. Datos  Ganaderos'!R7*'II. Datos  Ganaderos'!S7+'II. Datos  Ganaderos'!R8*'II. Datos  Ganaderos'!S8+'II. Datos  Ganaderos'!R9*'II. Datos  Ganaderos'!S9+'II. Datos  Ganaderos'!R10*'II. Datos  Ganaderos'!S10+'II. Datos  Ganaderos'!R11*'II. Datos  Ganaderos'!S11+'II. Datos  Ganaderos'!R12*'II. Datos  Ganaderos'!S12)/12</f>
        <v>0</v>
      </c>
      <c r="S9" s="966" t="str">
        <f>'II. Datos  Ganaderos'!Z64</f>
        <v>  Avena</v>
      </c>
      <c r="T9" s="675"/>
      <c r="U9" s="1216">
        <f>'II. Datos  Ganaderos'!AG64</f>
        <v>0</v>
      </c>
      <c r="V9" s="675" t="str">
        <f>'II. Datos  Ganaderos'!Z114</f>
        <v>  Invernada</v>
      </c>
      <c r="W9" s="675"/>
      <c r="X9" s="1216">
        <f>'II. Datos  Ganaderos'!AG114</f>
        <v>0</v>
      </c>
      <c r="Z9" s="966" t="str">
        <f>'II. Datos  Ganaderos'!Z64</f>
        <v>  Avena</v>
      </c>
      <c r="AA9" s="675"/>
      <c r="AB9" s="1216">
        <f>'II. Datos  Ganaderos'!AE64</f>
        <v>0</v>
      </c>
      <c r="AC9" s="675" t="str">
        <f>'II. Datos  Ganaderos'!Z105</f>
        <v>* Control lechero</v>
      </c>
      <c r="AD9" s="675"/>
      <c r="AE9" s="1216">
        <f>'II. Datos  Ganaderos'!AE105</f>
        <v>0</v>
      </c>
      <c r="AG9" s="926" t="str">
        <f>'Información General'!AJ8</f>
        <v>* Agua</v>
      </c>
      <c r="AH9" s="1205" t="str">
        <f>'Información General'!AK8</f>
        <v>($)</v>
      </c>
      <c r="AI9" s="1221">
        <f>'Información General'!AL8</f>
        <v>0</v>
      </c>
      <c r="AK9" s="966" t="s">
        <v>862</v>
      </c>
      <c r="AL9" s="608"/>
      <c r="AM9" s="1311">
        <f>IF('II. Datos  Ganaderos'!AE19=0,'II. Datos  Ganaderos'!AE34,IF('II. Datos  Ganaderos'!AE34=0,'II. Datos  Ganaderos'!AE19,('II. Datos  Ganaderos'!AE19+'II. Datos  Ganaderos'!AE34)/2))</f>
        <v>0</v>
      </c>
      <c r="AN9" s="1243">
        <f>+'VII. Impresión'!BU24</f>
        <v>0</v>
      </c>
      <c r="AO9" s="1242"/>
      <c r="AR9" s="926" t="str">
        <f>+'V. Indicadores'!B10</f>
        <v>Total Activo promedio</v>
      </c>
      <c r="AT9" s="1223">
        <f>+'V. Indicadores'!D10</f>
        <v>0</v>
      </c>
      <c r="AU9" s="1014"/>
      <c r="AX9" s="926" t="str">
        <f>+'V. Indicadores'!L50</f>
        <v>Superficie agrícola/SAU</v>
      </c>
      <c r="AY9" s="612" t="str">
        <f>+'V. Indicadores'!M50</f>
        <v>%</v>
      </c>
      <c r="AZ9" s="1006">
        <f>+'V. Indicadores'!N50</f>
        <v>0</v>
      </c>
      <c r="BC9" s="1133" t="str">
        <f>+'V. Indicadores'!T47</f>
        <v>Carga Animal/ha  invernada</v>
      </c>
      <c r="BD9" s="612" t="str">
        <f>+'V. Indicadores'!U47</f>
        <v>cab/ha</v>
      </c>
      <c r="BE9" s="1135">
        <f>+'V. Indicadores'!V47</f>
        <v>0</v>
      </c>
      <c r="BH9" s="926" t="str">
        <f>+'V. Indicadores'!Z11</f>
        <v>Productividad  rodeo invernada</v>
      </c>
      <c r="BI9" s="612" t="str">
        <f>+'V. Indicadores'!AA11</f>
        <v>kg carne/cab.</v>
      </c>
      <c r="BJ9" s="996">
        <f>+'V. Indicadores'!AB11</f>
        <v>0</v>
      </c>
      <c r="BL9" s="1395"/>
      <c r="BM9" s="935">
        <f>'II. Datos  Ganaderos'!AF14-'II. Datos  Ganaderos'!AF30</f>
        <v>0</v>
      </c>
      <c r="BN9" s="1395"/>
      <c r="BO9" s="934" t="str">
        <f>'II. Datos  Ganaderos'!AL10</f>
        <v>     Vaquillonas sin servicio</v>
      </c>
      <c r="BP9" s="934">
        <f>'II. Datos  Ganaderos'!AN10*'II. Datos  Ganaderos'!AO10</f>
        <v>0</v>
      </c>
      <c r="BQ9" s="934">
        <f>'II. Datos  Ganaderos'!AQ10*'II. Datos  Ganaderos'!AR10</f>
        <v>0</v>
      </c>
      <c r="BR9" s="934">
        <f t="shared" si="0"/>
        <v>0</v>
      </c>
      <c r="BS9" s="1395"/>
      <c r="BT9" s="1395"/>
      <c r="BU9" s="935">
        <f>('II. Datos  Ganaderos'!AQ9*'II. Datos  Ganaderos'!AR9*'II. Datos  Ganaderos'!AS9)-('II. Datos  Ganaderos'!AN9*'II. Datos  Ganaderos'!AO9*'II. Datos  Ganaderos'!AP9)</f>
        <v>0</v>
      </c>
      <c r="BW9" s="1395" t="str">
        <f>+'II. Datos  Ganaderos'!Q6</f>
        <v>                     3er año</v>
      </c>
      <c r="BX9" s="934">
        <f>'II. Datos  Ganaderos'!R6*'II. Datos  Ganaderos'!S6/12</f>
        <v>0</v>
      </c>
      <c r="BY9" s="934">
        <f>'II. Datos  Ganaderos'!R64*'II. Datos  Ganaderos'!S64/12</f>
        <v>0</v>
      </c>
      <c r="CS9" s="1507" t="str">
        <f>+'III. Datos Agrícolas'!AC3</f>
        <v>XXX</v>
      </c>
      <c r="CT9" s="1507">
        <f>+'III. Datos Agrícolas'!AC4</f>
        <v>0</v>
      </c>
      <c r="CU9" s="1507">
        <f>+'III. Datos Agrícolas'!AC5</f>
        <v>0</v>
      </c>
      <c r="CV9" s="1507">
        <f>+'III. Datos Agrícolas'!AC90</f>
        <v>0</v>
      </c>
      <c r="CW9" s="1504">
        <f>IF('III. Datos Agrícolas'!AC4=0,0,+(SUM('III. Datos Agrícolas'!AE13:AE24)+SUM('III. Datos Agrícolas'!AE28:AE39)))</f>
        <v>0</v>
      </c>
      <c r="CX9" s="1395">
        <f>SUM('III. Datos Agrícolas'!AD63:AD65)</f>
        <v>0</v>
      </c>
      <c r="CY9" s="1395">
        <f t="shared" si="1"/>
        <v>0</v>
      </c>
      <c r="CZ9" s="1395">
        <f t="shared" si="2"/>
        <v>0</v>
      </c>
      <c r="DA9" s="1508" t="s">
        <v>874</v>
      </c>
      <c r="DB9" s="1508" t="s">
        <v>727</v>
      </c>
      <c r="DC9" s="1510">
        <f>IF(DC2=0,0,'II. Datos  Ganaderos'!AO59/DC4)</f>
        <v>0</v>
      </c>
      <c r="DI9" s="1508" t="s">
        <v>875</v>
      </c>
      <c r="DL9" s="1395">
        <f>+'II. Datos  Ganaderos'!E7</f>
        <v>0</v>
      </c>
      <c r="DM9" s="1395" t="s">
        <v>876</v>
      </c>
      <c r="DN9" s="1518">
        <f>IF('VII. Impresión'!BR28=0,0,DN5/('II. Datos  Ganaderos'!AQ53+'II. Datos  Ganaderos'!AQ58))</f>
        <v>0</v>
      </c>
    </row>
    <row r="10" spans="1:118" ht="16.5" customHeight="1">
      <c r="A10" s="1002" t="str">
        <f>'II. Datos  Ganaderos'!AL9</f>
        <v>     Vaquillonas en servicio</v>
      </c>
      <c r="B10" s="677">
        <f>'II. Datos  Ganaderos'!AN38</f>
        <v>0</v>
      </c>
      <c r="C10" s="1001">
        <f>'II. Datos  Ganaderos'!AM38</f>
        <v>0</v>
      </c>
      <c r="D10" s="618" t="str">
        <f>'II. Datos  Ganaderos'!AL21</f>
        <v>Vacas</v>
      </c>
      <c r="E10" s="677">
        <f>'II. Datos  Ganaderos'!AN50</f>
        <v>0</v>
      </c>
      <c r="F10" s="967">
        <f>'II. Datos  Ganaderos'!AM50</f>
        <v>0</v>
      </c>
      <c r="H10" s="1236">
        <f>SUM('II. Datos  Ganaderos'!AM23:AS23)</f>
        <v>0</v>
      </c>
      <c r="M10" s="966" t="str">
        <f>+'II. Datos  Ganaderos'!Q11</f>
        <v>                    3er año</v>
      </c>
      <c r="N10" s="675">
        <f>IF(O10=0,0,+'II. Datos  Ganaderos'!T11)</f>
        <v>0</v>
      </c>
      <c r="O10" s="1037">
        <f>+'VII. Impresión'!BX14</f>
        <v>0</v>
      </c>
      <c r="P10" s="1140" t="s">
        <v>877</v>
      </c>
      <c r="Q10" s="1294">
        <f>('II. Datos  Ganaderos'!R15*'II. Datos  Ganaderos'!S15+'II. Datos  Ganaderos'!R20*'II. Datos  Ganaderos'!S20+'II. Datos  Ganaderos'!R16*'II. Datos  Ganaderos'!S16)/12</f>
        <v>0</v>
      </c>
      <c r="S10" s="966" t="str">
        <f>'II. Datos  Ganaderos'!Z65</f>
        <v>  Maíz para grano húmedo</v>
      </c>
      <c r="T10" s="675"/>
      <c r="U10" s="1223">
        <f>'II. Datos  Ganaderos'!AG65</f>
        <v>0</v>
      </c>
      <c r="V10" s="926" t="str">
        <f>+'II. Datos  Ganaderos'!Z117</f>
        <v>* .......................</v>
      </c>
      <c r="W10" s="608"/>
      <c r="X10" s="1216">
        <f>'II. Datos  Ganaderos'!AG117</f>
        <v>0</v>
      </c>
      <c r="Z10" s="966" t="str">
        <f>'II. Datos  Ganaderos'!Z65</f>
        <v>  Maíz para grano húmedo</v>
      </c>
      <c r="AA10" s="675"/>
      <c r="AB10" s="1216">
        <f>'II. Datos  Ganaderos'!AE65</f>
        <v>0</v>
      </c>
      <c r="AC10" s="675" t="str">
        <f>'II. Datos  Ganaderos'!Z107</f>
        <v>  Tambero Mediero </v>
      </c>
      <c r="AD10" s="675"/>
      <c r="AE10" s="1216">
        <f>'II. Datos  Ganaderos'!AE107</f>
        <v>0</v>
      </c>
      <c r="AG10" s="926" t="str">
        <f>'Información General'!AJ9</f>
        <v>* Arrendamiento agrícola  ($/ha/mes)</v>
      </c>
      <c r="AH10" s="611">
        <f>'Información General'!AK9</f>
        <v>0</v>
      </c>
      <c r="AI10" s="1221">
        <f>'Información General'!AL9</f>
        <v>0</v>
      </c>
      <c r="AK10" s="966" t="s">
        <v>878</v>
      </c>
      <c r="AL10" s="608"/>
      <c r="AM10" s="608"/>
      <c r="AN10" s="1241"/>
      <c r="AO10" s="1242">
        <f>+SUM(AN11:AN19)</f>
        <v>0</v>
      </c>
      <c r="AR10" s="926" t="str">
        <f>+'V. Indicadores'!B11</f>
        <v>Incorporaciones de Capital</v>
      </c>
      <c r="AT10" s="1223">
        <f>+'V. Indicadores'!D11</f>
        <v>0</v>
      </c>
      <c r="AU10" s="1014"/>
      <c r="AX10" s="926" t="str">
        <f>+'V. Indicadores'!L51</f>
        <v>VT/SAU</v>
      </c>
      <c r="AY10" s="612" t="str">
        <f>+'V. Indicadores'!M51</f>
        <v>VT/ha</v>
      </c>
      <c r="AZ10" s="996">
        <f>+'V. Indicadores'!N51</f>
        <v>0</v>
      </c>
      <c r="BC10" s="1133" t="str">
        <f>+'V. Indicadores'!T48</f>
        <v>Carga Animal/ha  invernada</v>
      </c>
      <c r="BD10" s="612" t="str">
        <f>+'V. Indicadores'!U48</f>
        <v>kg./ha</v>
      </c>
      <c r="BE10" s="1135">
        <f>+'V. Indicadores'!V48</f>
        <v>0</v>
      </c>
      <c r="BH10" s="926" t="str">
        <f>+'V. Indicadores'!Z12</f>
        <v>Productividad  rodeo invernada</v>
      </c>
      <c r="BI10" s="612" t="str">
        <f>+'V. Indicadores'!AA12</f>
        <v>kg carne/Sup.invernada</v>
      </c>
      <c r="BJ10" s="996">
        <f>+'V. Indicadores'!AB12</f>
        <v>0</v>
      </c>
      <c r="BL10" s="1395"/>
      <c r="BM10" s="935">
        <f>'II. Datos  Ganaderos'!AF15-'II. Datos  Ganaderos'!AF31</f>
        <v>0</v>
      </c>
      <c r="BN10" s="1395"/>
      <c r="BO10" s="934" t="str">
        <f>'II. Datos  Ganaderos'!AL11</f>
        <v>     Terneras &lt; 1 año</v>
      </c>
      <c r="BP10" s="934">
        <f>'II. Datos  Ganaderos'!AN11*'II. Datos  Ganaderos'!AO11</f>
        <v>0</v>
      </c>
      <c r="BQ10" s="934">
        <f>'II. Datos  Ganaderos'!AQ11*'II. Datos  Ganaderos'!AR11</f>
        <v>0</v>
      </c>
      <c r="BR10" s="934">
        <f t="shared" si="0"/>
        <v>0</v>
      </c>
      <c r="BS10" s="1395"/>
      <c r="BT10" s="1395"/>
      <c r="BU10" s="935">
        <f>('II. Datos  Ganaderos'!AQ10*'II. Datos  Ganaderos'!AR10*'II. Datos  Ganaderos'!AS10)-('II. Datos  Ganaderos'!AN10*'II. Datos  Ganaderos'!AO10*'II. Datos  Ganaderos'!AP10)</f>
        <v>0</v>
      </c>
      <c r="BW10" s="1395" t="str">
        <f>+'II. Datos  Ganaderos'!Q7</f>
        <v>                    4to año</v>
      </c>
      <c r="BX10" s="934">
        <f>'II. Datos  Ganaderos'!R7*'II. Datos  Ganaderos'!S7/12</f>
        <v>0</v>
      </c>
      <c r="BY10" s="934">
        <f>'II. Datos  Ganaderos'!R65*'II. Datos  Ganaderos'!S65/12</f>
        <v>0</v>
      </c>
      <c r="CS10" s="1507" t="str">
        <f>+'III. Datos Agrícolas'!AH3</f>
        <v>XXX</v>
      </c>
      <c r="CT10" s="1507">
        <f>+'III. Datos Agrícolas'!AH4</f>
        <v>0</v>
      </c>
      <c r="CU10" s="1507">
        <f>+'III. Datos Agrícolas'!AH5</f>
        <v>0</v>
      </c>
      <c r="CV10" s="1507">
        <f>+'III. Datos Agrícolas'!AH90</f>
        <v>0</v>
      </c>
      <c r="CW10" s="1504">
        <f>IF('III. Datos Agrícolas'!AH5=0,0,+(SUM('III. Datos Agrícolas'!AJ13:AJ24)+SUM('III. Datos Agrícolas'!AJ28:AJ39)))</f>
        <v>0</v>
      </c>
      <c r="CX10" s="1395">
        <f>SUM('III. Datos Agrícolas'!AI63:AI65)</f>
        <v>0</v>
      </c>
      <c r="CY10" s="1395">
        <f t="shared" si="1"/>
        <v>0</v>
      </c>
      <c r="CZ10" s="1395">
        <f t="shared" si="2"/>
        <v>0</v>
      </c>
      <c r="DA10" s="1506" t="s">
        <v>879</v>
      </c>
      <c r="DB10" s="1396"/>
      <c r="DC10" s="1519"/>
      <c r="DD10" s="1506"/>
      <c r="DE10" s="1396"/>
      <c r="DF10" s="1396"/>
      <c r="DI10" s="1517" t="s">
        <v>880</v>
      </c>
      <c r="DL10" s="1509">
        <f>DL8/365</f>
        <v>0</v>
      </c>
      <c r="DM10" s="1520" t="s">
        <v>881</v>
      </c>
      <c r="DN10" s="1395">
        <f>IF('V. Indicadores'!D39=0,0,('II. Datos  Ganaderos'!AN53+'II. Datos  Ganaderos'!AN58)/'V. Indicadores'!D39)</f>
        <v>0</v>
      </c>
    </row>
    <row r="11" spans="1:116" ht="16.5" customHeight="1" thickBot="1">
      <c r="A11" s="1002" t="str">
        <f>'II. Datos  Ganaderos'!AL10</f>
        <v>     Vaquillonas sin servicio</v>
      </c>
      <c r="B11" s="677">
        <f>'II. Datos  Ganaderos'!AN39</f>
        <v>0</v>
      </c>
      <c r="C11" s="1001">
        <f>'II. Datos  Ganaderos'!AM39</f>
        <v>0</v>
      </c>
      <c r="D11" s="618" t="str">
        <f>'II. Datos  Ganaderos'!AL22</f>
        <v>Equinos</v>
      </c>
      <c r="E11" s="677">
        <f>'II. Datos  Ganaderos'!AN51</f>
        <v>0</v>
      </c>
      <c r="F11" s="967">
        <f>'II. Datos  Ganaderos'!AM51</f>
        <v>0</v>
      </c>
      <c r="H11" s="1236"/>
      <c r="M11" s="966" t="str">
        <f>+'II. Datos  Ganaderos'!Q12</f>
        <v>                    4to año</v>
      </c>
      <c r="N11" s="675">
        <f>IF(O11=0,0,+'II. Datos  Ganaderos'!T12)</f>
        <v>0</v>
      </c>
      <c r="O11" s="1037">
        <f>+'VII. Impresión'!BX15</f>
        <v>0</v>
      </c>
      <c r="P11" s="1140" t="s">
        <v>882</v>
      </c>
      <c r="Q11" s="1141">
        <f>('II. Datos  Ganaderos'!R17*'II. Datos  Ganaderos'!S17+'II. Datos  Ganaderos'!R18*'II. Datos  Ganaderos'!S18+'II. Datos  Ganaderos'!R19*'II. Datos  Ganaderos'!S19)/12</f>
        <v>0</v>
      </c>
      <c r="S11" s="966" t="str">
        <f>'II. Datos  Ganaderos'!Z66</f>
        <v>  Sorgo para grano húmedo</v>
      </c>
      <c r="T11" s="675"/>
      <c r="U11" s="1223">
        <f>'II. Datos  Ganaderos'!AG66</f>
        <v>0</v>
      </c>
      <c r="V11" s="927" t="str">
        <f>+'II. Datos  Ganaderos'!Z118</f>
        <v>* .......................</v>
      </c>
      <c r="W11" s="978"/>
      <c r="X11" s="997">
        <f>+'II. Datos  Ganaderos'!AG118</f>
        <v>0</v>
      </c>
      <c r="Z11" s="966" t="str">
        <f>'II. Datos  Ganaderos'!Z66</f>
        <v>  Sorgo para grano húmedo</v>
      </c>
      <c r="AA11" s="675"/>
      <c r="AB11" s="1216">
        <f>'II. Datos  Ganaderos'!AE66</f>
        <v>0</v>
      </c>
      <c r="AC11" s="675" t="str">
        <f>'II. Datos  Ganaderos'!Z109</f>
        <v>  Personal  contratado</v>
      </c>
      <c r="AD11" s="679"/>
      <c r="AE11" s="1216">
        <f>'II. Datos  Ganaderos'!AE109</f>
        <v>0</v>
      </c>
      <c r="AG11" s="926" t="str">
        <f>'Información General'!AJ10</f>
        <v>* Arrendamiento tambo ($/ha/mes)</v>
      </c>
      <c r="AH11" s="611">
        <f>'Información General'!AK10</f>
        <v>0</v>
      </c>
      <c r="AI11" s="1221">
        <f>'Información General'!AL10</f>
        <v>0</v>
      </c>
      <c r="AK11" s="926"/>
      <c r="AL11" s="608" t="str">
        <f aca="true" t="shared" si="3" ref="AL11:AL19">+CS35</f>
        <v>XXX</v>
      </c>
      <c r="AM11" s="608"/>
      <c r="AN11" s="1241">
        <f aca="true" t="shared" si="4" ref="AN11:AN19">+CT35</f>
        <v>0</v>
      </c>
      <c r="AO11" s="1242"/>
      <c r="AR11" s="927" t="str">
        <f>+'V. Indicadores'!B12</f>
        <v>Valor de la Tierra con mejoras ($/ha)</v>
      </c>
      <c r="AS11" s="978"/>
      <c r="AT11" s="1227">
        <f>+'V. Indicadores'!D12</f>
        <v>0</v>
      </c>
      <c r="AU11" s="1015"/>
      <c r="AX11" s="926" t="str">
        <f>+'V. Indicadores'!L52</f>
        <v>Cab/SAU</v>
      </c>
      <c r="AY11" s="612" t="str">
        <f>+'V. Indicadores'!M52</f>
        <v>Cab/Ha</v>
      </c>
      <c r="AZ11" s="996">
        <f>+'V. Indicadores'!N52</f>
        <v>0</v>
      </c>
      <c r="BC11" s="1133" t="str">
        <f>+'V. Indicadores'!T49</f>
        <v>Mortandad</v>
      </c>
      <c r="BD11" s="612" t="str">
        <f>+'V. Indicadores'!U49</f>
        <v>%</v>
      </c>
      <c r="BE11" s="1136">
        <f>+'V. Indicadores'!V49</f>
        <v>0</v>
      </c>
      <c r="BH11" s="1112" t="s">
        <v>883</v>
      </c>
      <c r="BI11" s="612"/>
      <c r="BJ11" s="996"/>
      <c r="BL11" s="1395"/>
      <c r="BM11" s="935">
        <f>'II. Datos  Ganaderos'!AF16-'II. Datos  Ganaderos'!AF32</f>
        <v>0</v>
      </c>
      <c r="BN11" s="1395"/>
      <c r="BO11" s="934" t="str">
        <f>'II. Datos  Ganaderos'!AL12</f>
        <v>     Terneros &lt; 1 año</v>
      </c>
      <c r="BP11" s="934">
        <f>'II. Datos  Ganaderos'!AN12*'II. Datos  Ganaderos'!AO12</f>
        <v>0</v>
      </c>
      <c r="BQ11" s="934">
        <f>'II. Datos  Ganaderos'!AQ12*'II. Datos  Ganaderos'!AR12</f>
        <v>0</v>
      </c>
      <c r="BR11" s="934">
        <f t="shared" si="0"/>
        <v>0</v>
      </c>
      <c r="BS11" s="1395"/>
      <c r="BT11" s="1395"/>
      <c r="BU11" s="935">
        <f>('II. Datos  Ganaderos'!AQ11*'II. Datos  Ganaderos'!AR11*'II. Datos  Ganaderos'!AS11)-('II. Datos  Ganaderos'!AN11*'II. Datos  Ganaderos'!AO11*'II. Datos  Ganaderos'!AP11)</f>
        <v>0</v>
      </c>
      <c r="BW11" s="1395" t="str">
        <f>+'II. Datos  Ganaderos'!Q8</f>
        <v>.....................</v>
      </c>
      <c r="BX11" s="934">
        <f>'II. Datos  Ganaderos'!R8*'II. Datos  Ganaderos'!S8/12</f>
        <v>0</v>
      </c>
      <c r="BY11" s="934">
        <f>'II. Datos  Ganaderos'!R66*'II. Datos  Ganaderos'!S66/12</f>
        <v>0</v>
      </c>
      <c r="CS11" s="1507" t="str">
        <f>+'III. Datos Agrícolas'!AM3</f>
        <v>XXX</v>
      </c>
      <c r="CT11" s="1507">
        <f>+'III. Datos Agrícolas'!AM4</f>
        <v>0</v>
      </c>
      <c r="CU11" s="1507">
        <f>+'III. Datos Agrícolas'!AM5</f>
        <v>0</v>
      </c>
      <c r="CV11" s="1507">
        <f>+'III. Datos Agrícolas'!AM90</f>
        <v>0</v>
      </c>
      <c r="CW11" s="1504">
        <f>IF('III. Datos Agrícolas'!AM5=0,0,+(SUM('III. Datos Agrícolas'!AO13:AO24)+SUM('III. Datos Agrícolas'!AO28:AO39)))</f>
        <v>0</v>
      </c>
      <c r="CX11" s="1395">
        <f>SUM('III. Datos Agrícolas'!AN63:AN65)</f>
        <v>0</v>
      </c>
      <c r="CY11" s="1395">
        <f t="shared" si="1"/>
        <v>0</v>
      </c>
      <c r="CZ11" s="1395">
        <f t="shared" si="2"/>
        <v>0</v>
      </c>
      <c r="DA11" s="1521" t="s">
        <v>329</v>
      </c>
      <c r="DB11" s="1522"/>
      <c r="DC11" s="1522"/>
      <c r="DD11" s="1523" t="s">
        <v>330</v>
      </c>
      <c r="DE11" s="1523"/>
      <c r="DF11" s="1523"/>
      <c r="DI11" s="1517" t="s">
        <v>884</v>
      </c>
      <c r="DL11" s="1509">
        <f>IF('II. Datos  Ganaderos'!E6=0,0,DL8/'II. Datos  Ganaderos'!AN35/365)</f>
        <v>0</v>
      </c>
    </row>
    <row r="12" spans="1:118" ht="16.5" customHeight="1" thickBot="1">
      <c r="A12" s="1002" t="str">
        <f>'II. Datos  Ganaderos'!AL11</f>
        <v>     Terneras &lt; 1 año</v>
      </c>
      <c r="B12" s="677">
        <f>'II. Datos  Ganaderos'!AN40</f>
        <v>0</v>
      </c>
      <c r="C12" s="1001">
        <f>'II. Datos  Ganaderos'!AM40</f>
        <v>0</v>
      </c>
      <c r="D12" s="618" t="str">
        <f>'II. Datos  Ganaderos'!AL23</f>
        <v>................</v>
      </c>
      <c r="E12" s="677">
        <f>'II. Datos  Ganaderos'!AN52</f>
        <v>0</v>
      </c>
      <c r="F12" s="967">
        <f>'II. Datos  Ganaderos'!AM52</f>
        <v>0</v>
      </c>
      <c r="H12" s="1236"/>
      <c r="M12" s="966" t="str">
        <f>+'II. Datos  Ganaderos'!Q13</f>
        <v> Rastrojo</v>
      </c>
      <c r="N12" s="675">
        <f>IF(O12=0,0,+'II. Datos  Ganaderos'!T13)</f>
        <v>0</v>
      </c>
      <c r="O12" s="1037">
        <f>+'VII. Impresión'!BX16</f>
        <v>0</v>
      </c>
      <c r="P12" s="1140" t="s">
        <v>885</v>
      </c>
      <c r="Q12" s="1141">
        <f>('II. Datos  Ganaderos'!R21*'II. Datos  Ganaderos'!S21+'II. Datos  Ganaderos'!R22*'II. Datos  Ganaderos'!S22)/12</f>
        <v>0</v>
      </c>
      <c r="S12" s="966" t="str">
        <f>'II. Datos  Ganaderos'!Z67</f>
        <v>*Mantenimiento de praderas</v>
      </c>
      <c r="T12" s="675"/>
      <c r="U12" s="1216">
        <f>'II. Datos  Ganaderos'!AG67</f>
        <v>0</v>
      </c>
      <c r="V12" s="1295" t="s">
        <v>886</v>
      </c>
      <c r="W12" s="1296"/>
      <c r="X12" s="1297">
        <f>'II. Datos  Ganaderos'!AG123</f>
        <v>0</v>
      </c>
      <c r="Z12" s="966" t="str">
        <f>'II. Datos  Ganaderos'!Z67</f>
        <v>*Mantenimiento de praderas</v>
      </c>
      <c r="AA12" s="675"/>
      <c r="AB12" s="1216">
        <f>'II. Datos  Ganaderos'!AE67</f>
        <v>0</v>
      </c>
      <c r="AC12" s="675" t="str">
        <f>'II. Datos  Ganaderos'!Z110</f>
        <v>  Familiar</v>
      </c>
      <c r="AD12" s="675"/>
      <c r="AE12" s="1216">
        <f>'II. Datos  Ganaderos'!AE110</f>
        <v>0</v>
      </c>
      <c r="AG12" s="926" t="str">
        <f>'Información General'!AJ11</f>
        <v>* Arrendamiento ganadería ($/ha/mes)</v>
      </c>
      <c r="AH12" s="611">
        <f>'Información General'!AK11</f>
        <v>0</v>
      </c>
      <c r="AI12" s="1221">
        <f>'Información General'!AL11</f>
        <v>0</v>
      </c>
      <c r="AK12" s="926"/>
      <c r="AL12" s="608" t="str">
        <f t="shared" si="3"/>
        <v>XXX</v>
      </c>
      <c r="AM12" s="608"/>
      <c r="AN12" s="1241">
        <f t="shared" si="4"/>
        <v>0</v>
      </c>
      <c r="AO12" s="1242"/>
      <c r="AR12" s="994" t="s">
        <v>887</v>
      </c>
      <c r="AS12" s="668"/>
      <c r="AT12" s="1228"/>
      <c r="AX12" s="926" t="str">
        <f>+'V. Indicadores'!L53</f>
        <v>Cant. EV Tambo/EVTotales</v>
      </c>
      <c r="AY12" s="612" t="str">
        <f>+'V. Indicadores'!M53</f>
        <v>%</v>
      </c>
      <c r="AZ12" s="1006">
        <f>+'V. Indicadores'!N53</f>
        <v>0</v>
      </c>
      <c r="BC12" s="1133" t="str">
        <f>+'V. Indicadores'!T50</f>
        <v>Hacienda Capitalización</v>
      </c>
      <c r="BD12" s="612" t="str">
        <f>+'V. Indicadores'!U50</f>
        <v>% cab capitalizadas</v>
      </c>
      <c r="BE12" s="1136">
        <f>+'V. Indicadores'!V50</f>
        <v>0</v>
      </c>
      <c r="BH12" s="926" t="str">
        <f>+'V. Indicadores'!Z14</f>
        <v>Productividad de la Superficie Agrícola</v>
      </c>
      <c r="BI12" s="612"/>
      <c r="BJ12" s="1025"/>
      <c r="BL12" s="1395" t="s">
        <v>888</v>
      </c>
      <c r="BM12" s="1395"/>
      <c r="BN12" s="1395"/>
      <c r="BO12" s="934" t="str">
        <f>'II. Datos  Ganaderos'!AL13</f>
        <v>     Equinos</v>
      </c>
      <c r="BP12" s="934">
        <f>'II. Datos  Ganaderos'!AN13*'II. Datos  Ganaderos'!AO13</f>
        <v>0</v>
      </c>
      <c r="BQ12" s="934">
        <f>'II. Datos  Ganaderos'!AQ13*'II. Datos  Ganaderos'!AR13</f>
        <v>0</v>
      </c>
      <c r="BR12" s="934">
        <f t="shared" si="0"/>
        <v>0</v>
      </c>
      <c r="BS12" s="1395"/>
      <c r="BT12" s="1395"/>
      <c r="BU12" s="935">
        <f>('II. Datos  Ganaderos'!AQ12*'II. Datos  Ganaderos'!AR12*'II. Datos  Ganaderos'!AS12)-('II. Datos  Ganaderos'!AN12*'II. Datos  Ganaderos'!AO12*'II. Datos  Ganaderos'!AP12)</f>
        <v>0</v>
      </c>
      <c r="BW12" s="1395" t="str">
        <f>+'II. Datos  Ganaderos'!Q9</f>
        <v> Base festuca 1er año</v>
      </c>
      <c r="BX12" s="934">
        <f>'II. Datos  Ganaderos'!R9*'II. Datos  Ganaderos'!S9/12</f>
        <v>0</v>
      </c>
      <c r="BY12" s="934">
        <f>'II. Datos  Ganaderos'!R67*'II. Datos  Ganaderos'!S67/12</f>
        <v>0</v>
      </c>
      <c r="CS12" s="1507" t="str">
        <f>+'III. Datos Agrícolas'!AR3</f>
        <v>XXX</v>
      </c>
      <c r="CT12" s="1507">
        <f>+'III. Datos Agrícolas'!AR4</f>
        <v>0</v>
      </c>
      <c r="CU12" s="1507">
        <f>+'III. Datos Agrícolas'!AR5</f>
        <v>0</v>
      </c>
      <c r="CV12" s="1507">
        <f>+'III. Datos Agrícolas'!AR90</f>
        <v>0</v>
      </c>
      <c r="CW12" s="1504">
        <f>IF('III. Datos Agrícolas'!AR5=0,0,+(SUM('III. Datos Agrícolas'!AT13:AT24)+SUM('III. Datos Agrícolas'!AT28:AT39)))</f>
        <v>0</v>
      </c>
      <c r="CX12" s="1395">
        <f>SUM('III. Datos Agrícolas'!AS63:AS65)</f>
        <v>0</v>
      </c>
      <c r="CY12" s="1395">
        <f t="shared" si="1"/>
        <v>0</v>
      </c>
      <c r="CZ12" s="1395">
        <f t="shared" si="2"/>
        <v>0</v>
      </c>
      <c r="DA12" s="1395" t="s">
        <v>889</v>
      </c>
      <c r="DC12" s="1510">
        <f>IF('Información General'!D25&gt;0,'Información General'!D25,'II. Datos  Ganaderos'!S23)</f>
        <v>0</v>
      </c>
      <c r="DD12" s="1395" t="s">
        <v>890</v>
      </c>
      <c r="DF12" s="1509">
        <f>IF('Información General'!D28&gt;0,'Información General'!D28,'II. Datos  Ganaderos'!S81)</f>
        <v>0</v>
      </c>
      <c r="DI12" s="1517" t="s">
        <v>891</v>
      </c>
      <c r="DL12" s="1509">
        <f>IF('II. Datos  Ganaderos'!E6=0,0,'II. Datos  Ganaderos'!E6/('II. Datos  Ganaderos'!AN35+'II. Datos  Ganaderos'!AN36)/365)</f>
        <v>0</v>
      </c>
      <c r="DM12" s="1508" t="s">
        <v>892</v>
      </c>
      <c r="DN12" s="1509">
        <f>('II. Datos  Ganaderos'!AE9*'II. Datos  Ganaderos'!AF9)+('II. Datos  Ganaderos'!AE10*'II. Datos  Ganaderos'!AF10)+('II. Datos  Ganaderos'!AE11*'II. Datos  Ganaderos'!AF11)+('II. Datos  Ganaderos'!AE12*'II. Datos  Ganaderos'!AF12)</f>
        <v>0</v>
      </c>
    </row>
    <row r="13" spans="1:118" ht="16.5" customHeight="1">
      <c r="A13" s="1002" t="str">
        <f>'II. Datos  Ganaderos'!AL12</f>
        <v>     Terneros &lt; 1 año</v>
      </c>
      <c r="B13" s="677">
        <f>'II. Datos  Ganaderos'!AN41</f>
        <v>0</v>
      </c>
      <c r="C13" s="1001">
        <f>'II. Datos  Ganaderos'!AM41</f>
        <v>0</v>
      </c>
      <c r="D13" s="618" t="str">
        <f>'II. Datos  Ganaderos'!AL25</f>
        <v>3 - INVERNADA TOMADA EN CAPITALIZACION</v>
      </c>
      <c r="E13" s="677"/>
      <c r="F13" s="967"/>
      <c r="H13" s="1236">
        <f>IF('II. Datos  Ganaderos'!AO26=0,'II. Datos  Ganaderos'!AR26,IF('II. Datos  Ganaderos'!AR26=0,'II. Datos  Ganaderos'!AO26,('II. Datos  Ganaderos'!AO26+'II. Datos  Ganaderos'!AR26)/2))</f>
        <v>0</v>
      </c>
      <c r="M13" s="966" t="str">
        <f>+'II. Datos  Ganaderos'!Q14</f>
        <v>  Campo natural</v>
      </c>
      <c r="N13" s="675">
        <f>IF(O13=0,0,+'II. Datos  Ganaderos'!T14)</f>
        <v>0</v>
      </c>
      <c r="O13" s="1037">
        <f>+'VII. Impresión'!BX17</f>
        <v>0</v>
      </c>
      <c r="P13" s="1140" t="s">
        <v>893</v>
      </c>
      <c r="Q13" s="1141">
        <f>'II. Datos  Ganaderos'!R13*'II. Datos  Ganaderos'!S13/12</f>
        <v>0</v>
      </c>
      <c r="S13" s="966" t="str">
        <f>'II. Datos  Ganaderos'!Z68</f>
        <v>* Implantación de praderas base alfalfa</v>
      </c>
      <c r="T13" s="675"/>
      <c r="U13" s="1216">
        <f>'II. Datos  Ganaderos'!AG68</f>
        <v>0</v>
      </c>
      <c r="W13" s="675"/>
      <c r="X13" s="963"/>
      <c r="Z13" s="966" t="str">
        <f>'II. Datos  Ganaderos'!Z68</f>
        <v>* Implantación de praderas base alfalfa</v>
      </c>
      <c r="AA13" s="675"/>
      <c r="AB13" s="1216">
        <f>'II. Datos  Ganaderos'!AE68</f>
        <v>0</v>
      </c>
      <c r="AC13" s="675" t="str">
        <f>'II. Datos  Ganaderos'!Z112</f>
        <v>*Gastos de comercializac y transporte</v>
      </c>
      <c r="AD13" s="675"/>
      <c r="AE13" s="1216"/>
      <c r="AG13" s="926" t="str">
        <f>'Información General'!AJ12</f>
        <v>* Personal</v>
      </c>
      <c r="AH13" s="1205" t="str">
        <f>'Información General'!AK12</f>
        <v>($)</v>
      </c>
      <c r="AI13" s="1221">
        <f>'Información General'!AL12</f>
        <v>0</v>
      </c>
      <c r="AK13" s="926"/>
      <c r="AL13" s="608" t="str">
        <f t="shared" si="3"/>
        <v>XXX</v>
      </c>
      <c r="AM13" s="608"/>
      <c r="AN13" s="1241">
        <f t="shared" si="4"/>
        <v>0</v>
      </c>
      <c r="AO13" s="1242"/>
      <c r="AR13" s="923" t="str">
        <f>+'V. Indicadores'!B14</f>
        <v>Superficie propia utilizable</v>
      </c>
      <c r="AS13" s="1007" t="str">
        <f>+'V. Indicadores'!C14</f>
        <v>Ha</v>
      </c>
      <c r="AT13" s="1229">
        <f>+'V. Indicadores'!D14</f>
        <v>0</v>
      </c>
      <c r="AX13" s="926" t="str">
        <f>+'V. Indicadores'!L54</f>
        <v>EVT/SAU</v>
      </c>
      <c r="AY13" s="612" t="str">
        <f>+'V. Indicadores'!M54</f>
        <v>EV/Ha</v>
      </c>
      <c r="AZ13" s="996">
        <f>+'V. Indicadores'!N54</f>
        <v>0</v>
      </c>
      <c r="BC13" s="1133" t="str">
        <f>+'V. Indicadores'!T51</f>
        <v>Tasa de extracción invernada calc.sobre kgs.</v>
      </c>
      <c r="BD13" s="612" t="str">
        <f>+'V. Indicadores'!U51</f>
        <v>%</v>
      </c>
      <c r="BE13" s="1136">
        <f>+'V. Indicadores'!V51</f>
        <v>0</v>
      </c>
      <c r="BH13" s="926" t="str">
        <f>+'V. Indicadores'!Z15</f>
        <v>XXX</v>
      </c>
      <c r="BI13" s="612" t="str">
        <f>+'V. Indicadores'!AA15</f>
        <v>qq/ha</v>
      </c>
      <c r="BJ13" s="996">
        <f>+'V. Indicadores'!AB15</f>
        <v>0</v>
      </c>
      <c r="BL13" s="1395"/>
      <c r="BM13" s="935">
        <f>'II. Datos  Ganaderos'!AF25*'II. Datos  Ganaderos'!AE25</f>
        <v>0</v>
      </c>
      <c r="BN13" s="1395"/>
      <c r="BO13" s="934" t="str">
        <f>'II. Datos  Ganaderos'!AL14</f>
        <v>     Toros</v>
      </c>
      <c r="BP13" s="934">
        <f>'II. Datos  Ganaderos'!AN14*'II. Datos  Ganaderos'!AO14</f>
        <v>0</v>
      </c>
      <c r="BQ13" s="934">
        <f>'II. Datos  Ganaderos'!AQ14*'II. Datos  Ganaderos'!AR14</f>
        <v>0</v>
      </c>
      <c r="BR13" s="934">
        <f t="shared" si="0"/>
        <v>0</v>
      </c>
      <c r="BS13" s="1395"/>
      <c r="BT13" s="1395"/>
      <c r="BU13" s="935">
        <f>('II. Datos  Ganaderos'!AQ13*'II. Datos  Ganaderos'!AS13)-('II. Datos  Ganaderos'!AN13*'II. Datos  Ganaderos'!AP13)</f>
        <v>0</v>
      </c>
      <c r="BW13" s="1395" t="str">
        <f>+'II. Datos  Ganaderos'!Q10</f>
        <v>                     2do año</v>
      </c>
      <c r="BX13" s="934">
        <f>'II. Datos  Ganaderos'!R10*'II. Datos  Ganaderos'!S10/12</f>
        <v>0</v>
      </c>
      <c r="BY13" s="934">
        <f>'II. Datos  Ganaderos'!R68*'II. Datos  Ganaderos'!S68/12</f>
        <v>0</v>
      </c>
      <c r="CS13" s="1524" t="s">
        <v>718</v>
      </c>
      <c r="CT13" s="1524">
        <f>SUM(CT4:CT11)</f>
        <v>0</v>
      </c>
      <c r="CU13" s="1396"/>
      <c r="CV13" s="1396"/>
      <c r="CW13" s="1396">
        <f>SUMPRODUCT(CW4:CW12,CZ4:CZ12)</f>
        <v>0</v>
      </c>
      <c r="CX13" s="1396">
        <f>SUMPRODUCT(CX4:CX12,CZ4:CZ12)</f>
        <v>0</v>
      </c>
      <c r="CY13" s="1396"/>
      <c r="CZ13" s="1396"/>
      <c r="DA13" s="1395" t="s">
        <v>168</v>
      </c>
      <c r="DC13" s="1510">
        <f>IF('Información General'!D26&gt;0,'Información General'!D26,IF('II. Datos  Ganaderos'!AO44=0,0,'VII. Impresión'!DC12*('II. Datos  Ganaderos'!AO35+'II. Datos  Ganaderos'!AO36)/'II. Datos  Ganaderos'!AO44))</f>
        <v>0</v>
      </c>
      <c r="DE13" s="1525"/>
      <c r="DF13" s="1509"/>
      <c r="DI13" s="1517" t="s">
        <v>894</v>
      </c>
      <c r="DL13" s="1395">
        <f>+'II. Datos  Ganaderos'!E15*'II. Datos  Ganaderos'!E20*'II. Datos  Ganaderos'!E18</f>
        <v>0</v>
      </c>
      <c r="DM13" s="1508" t="s">
        <v>895</v>
      </c>
      <c r="DN13" s="1509">
        <f>('II. Datos  Ganaderos'!AE14*'II. Datos  Ganaderos'!AF14)+('II. Datos  Ganaderos'!AE15*'II. Datos  Ganaderos'!AF15)+('II. Datos  Ganaderos'!AE16*'II. Datos  Ganaderos'!AF16)+('II. Datos  Ganaderos'!AE17*'II. Datos  Ganaderos'!AF17)</f>
        <v>0</v>
      </c>
    </row>
    <row r="14" spans="1:116" ht="16.5" customHeight="1" thickBot="1">
      <c r="A14" s="1002" t="str">
        <f>'II. Datos  Ganaderos'!AL13</f>
        <v>     Equinos</v>
      </c>
      <c r="B14" s="677">
        <f>'II. Datos  Ganaderos'!AN42</f>
        <v>0</v>
      </c>
      <c r="C14" s="1001">
        <f>'II. Datos  Ganaderos'!AM42</f>
        <v>0</v>
      </c>
      <c r="D14" s="618" t="str">
        <f>'II. Datos  Ganaderos'!AL26</f>
        <v>Novillos</v>
      </c>
      <c r="E14" s="677">
        <f>'II. Datos  Ganaderos'!AN55</f>
        <v>0</v>
      </c>
      <c r="F14" s="967">
        <f>'II. Datos  Ganaderos'!AM55</f>
        <v>0</v>
      </c>
      <c r="H14" s="1236">
        <f>IF('II. Datos  Ganaderos'!AO27=0,'II. Datos  Ganaderos'!AR27,IF('II. Datos  Ganaderos'!AR27=0,'II. Datos  Ganaderos'!AO27,('II. Datos  Ganaderos'!AO27+'II. Datos  Ganaderos'!AR27)/2))</f>
        <v>0</v>
      </c>
      <c r="M14" s="966" t="str">
        <f>+'II. Datos  Ganaderos'!Q15</f>
        <v>  Moha</v>
      </c>
      <c r="N14" s="675">
        <f>IF(O14=0,0,+'II. Datos  Ganaderos'!T15)</f>
        <v>0</v>
      </c>
      <c r="O14" s="1037">
        <f>+'VII. Impresión'!BX18</f>
        <v>0</v>
      </c>
      <c r="P14" s="1142" t="s">
        <v>896</v>
      </c>
      <c r="Q14" s="1143">
        <f>'II. Datos  Ganaderos'!R14*'II. Datos  Ganaderos'!S14/12</f>
        <v>0</v>
      </c>
      <c r="S14" s="966" t="str">
        <f>'II. Datos  Ganaderos'!Z69</f>
        <v>* Implantación de praderas </v>
      </c>
      <c r="T14" s="675"/>
      <c r="U14" s="1216">
        <f>'II. Datos  Ganaderos'!AG69</f>
        <v>0</v>
      </c>
      <c r="V14" s="675"/>
      <c r="W14" s="675"/>
      <c r="X14" s="607"/>
      <c r="Z14" s="966" t="str">
        <f>'II. Datos  Ganaderos'!Z69</f>
        <v>* Implantación de praderas </v>
      </c>
      <c r="AA14" s="675"/>
      <c r="AB14" s="1216">
        <f>'II. Datos  Ganaderos'!AE69</f>
        <v>0</v>
      </c>
      <c r="AC14" s="675" t="str">
        <f>'II. Datos  Ganaderos'!Z113</f>
        <v>  Tambo</v>
      </c>
      <c r="AD14" s="675"/>
      <c r="AE14" s="1216">
        <f>'II. Datos  Ganaderos'!AE113</f>
        <v>0</v>
      </c>
      <c r="AG14" s="926" t="str">
        <f>'Información General'!AJ13</f>
        <v>                                         EH</v>
      </c>
      <c r="AH14" s="611">
        <f>'Información General'!AK13</f>
        <v>0</v>
      </c>
      <c r="AI14" s="1221">
        <f>'Información General'!AL13</f>
        <v>0</v>
      </c>
      <c r="AK14" s="926"/>
      <c r="AL14" s="608" t="str">
        <f t="shared" si="3"/>
        <v>XXX</v>
      </c>
      <c r="AM14" s="608"/>
      <c r="AN14" s="1241">
        <f t="shared" si="4"/>
        <v>0</v>
      </c>
      <c r="AO14" s="1242"/>
      <c r="AR14" s="926" t="str">
        <f>+'V. Indicadores'!B15</f>
        <v>Superficie arrendada utilizable</v>
      </c>
      <c r="AS14" s="612" t="str">
        <f>+'V. Indicadores'!C15</f>
        <v>Ha</v>
      </c>
      <c r="AT14" s="1216">
        <f>+'V. Indicadores'!D15</f>
        <v>0</v>
      </c>
      <c r="AX14" s="926" t="str">
        <f>+'V. Indicadores'!L55</f>
        <v>EH familiar/EH totales</v>
      </c>
      <c r="AY14" s="612" t="str">
        <f>+'V. Indicadores'!M55</f>
        <v>%</v>
      </c>
      <c r="AZ14" s="1006">
        <f>+'V. Indicadores'!N55</f>
        <v>0</v>
      </c>
      <c r="BC14" s="1133" t="str">
        <f>+'V. Indicadores'!T52</f>
        <v>Eficiencia de Stock (prod.carne/existencia promedio)</v>
      </c>
      <c r="BD14" s="612" t="str">
        <f>+'V. Indicadores'!U52</f>
        <v>%</v>
      </c>
      <c r="BE14" s="1136">
        <f>+'V. Indicadores'!V52</f>
        <v>0</v>
      </c>
      <c r="BH14" s="926" t="str">
        <f>+'V. Indicadores'!Z16</f>
        <v>XXX</v>
      </c>
      <c r="BI14" s="612" t="str">
        <f>+'V. Indicadores'!AA16</f>
        <v>qq/ha</v>
      </c>
      <c r="BJ14" s="996">
        <f>+'V. Indicadores'!AB16</f>
        <v>0</v>
      </c>
      <c r="BL14" s="1395"/>
      <c r="BM14" s="935">
        <f>'II. Datos  Ganaderos'!AF26*'II. Datos  Ganaderos'!AE26</f>
        <v>0</v>
      </c>
      <c r="BN14" s="1395"/>
      <c r="BO14" s="1399" t="str">
        <f>'II. Datos  Ganaderos'!AL15</f>
        <v>TOTAL</v>
      </c>
      <c r="BP14" s="1399">
        <f>SUM(BP5:BP13)</f>
        <v>0</v>
      </c>
      <c r="BQ14" s="1399">
        <f>SUM(BQ5:BQ13)</f>
        <v>0</v>
      </c>
      <c r="BR14" s="1399">
        <f>SUM(BR5:BR13)</f>
        <v>0</v>
      </c>
      <c r="BS14" s="1395"/>
      <c r="BT14" s="1395"/>
      <c r="BU14" s="935">
        <f>('II. Datos  Ganaderos'!AQ14*'II. Datos  Ganaderos'!AS14)-('II. Datos  Ganaderos'!AN14*'II. Datos  Ganaderos'!AP14)</f>
        <v>0</v>
      </c>
      <c r="BW14" s="1395" t="str">
        <f>+'II. Datos  Ganaderos'!Q11</f>
        <v>                    3er año</v>
      </c>
      <c r="BX14" s="934">
        <f>'II. Datos  Ganaderos'!R11*'II. Datos  Ganaderos'!S11/12</f>
        <v>0</v>
      </c>
      <c r="BY14" s="934">
        <f>'II. Datos  Ganaderos'!R69*'II. Datos  Ganaderos'!S69/12</f>
        <v>0</v>
      </c>
      <c r="CS14" s="1396" t="s">
        <v>897</v>
      </c>
      <c r="CT14" s="1513"/>
      <c r="CU14" s="1524">
        <f>SUM(CY4:CY12)</f>
        <v>0</v>
      </c>
      <c r="CV14" s="1396"/>
      <c r="CW14" s="1396"/>
      <c r="CX14" s="1396"/>
      <c r="CY14" s="1396"/>
      <c r="CZ14" s="1396"/>
      <c r="DA14" s="1511" t="s">
        <v>898</v>
      </c>
      <c r="DB14" s="1395" t="s">
        <v>414</v>
      </c>
      <c r="DC14" s="1510">
        <f>+'II. Datos  Ganaderos'!AN35+'II. Datos  Ganaderos'!AN36</f>
        <v>0</v>
      </c>
      <c r="DD14" s="1517" t="s">
        <v>478</v>
      </c>
      <c r="DE14" s="1509"/>
      <c r="DF14" s="1510" t="str">
        <f>'II. Datos  Ganaderos'!E37</f>
        <v>HOLANDO</v>
      </c>
      <c r="DI14" s="1517" t="s">
        <v>899</v>
      </c>
      <c r="DL14" s="1395">
        <f>+'II. Datos  Ganaderos'!E6</f>
        <v>0</v>
      </c>
    </row>
    <row r="15" spans="1:116" ht="16.5" customHeight="1">
      <c r="A15" s="1002" t="str">
        <f>'II. Datos  Ganaderos'!AL14</f>
        <v>     Toros</v>
      </c>
      <c r="B15" s="677">
        <f>'II. Datos  Ganaderos'!AN43</f>
        <v>0</v>
      </c>
      <c r="C15" s="1001">
        <f>'II. Datos  Ganaderos'!AM43</f>
        <v>0</v>
      </c>
      <c r="D15" s="618" t="str">
        <f>'II. Datos  Ganaderos'!AL27</f>
        <v>Vaquillonas</v>
      </c>
      <c r="E15" s="677">
        <f>'II. Datos  Ganaderos'!AN56</f>
        <v>0</v>
      </c>
      <c r="F15" s="967">
        <f>'II. Datos  Ganaderos'!AM56</f>
        <v>0</v>
      </c>
      <c r="H15" s="1236">
        <f>IF('II. Datos  Ganaderos'!AO28=0,'II. Datos  Ganaderos'!AR28,IF('II. Datos  Ganaderos'!AR28=0,'II. Datos  Ganaderos'!AO28,('II. Datos  Ganaderos'!AO28+'II. Datos  Ganaderos'!AR28)/2))</f>
        <v>0</v>
      </c>
      <c r="M15" s="966" t="str">
        <f>+'II. Datos  Ganaderos'!Q16</f>
        <v>  Sorgo forrajero</v>
      </c>
      <c r="N15" s="675">
        <f>IF(O15=0,0,+'II. Datos  Ganaderos'!T16)</f>
        <v>0</v>
      </c>
      <c r="O15" s="1037">
        <f>+'VII. Impresión'!BX19</f>
        <v>0</v>
      </c>
      <c r="P15" s="675"/>
      <c r="S15" s="974" t="str">
        <f>'II. Datos  Ganaderos'!Z70</f>
        <v>*Forrajes Conservados</v>
      </c>
      <c r="T15" s="675"/>
      <c r="U15" s="1216"/>
      <c r="V15" s="675"/>
      <c r="W15" s="679"/>
      <c r="X15" s="607"/>
      <c r="Z15" s="966" t="str">
        <f>'II. Datos  Ganaderos'!Z70</f>
        <v>*Forrajes Conservados</v>
      </c>
      <c r="AA15" s="675"/>
      <c r="AB15" s="1216"/>
      <c r="AC15" s="675" t="str">
        <f>'II. Datos  Ganaderos'!Z120</f>
        <v>* .......................</v>
      </c>
      <c r="AD15" s="675"/>
      <c r="AE15" s="1216">
        <f>+'II. Datos  Ganaderos'!AE120</f>
        <v>0</v>
      </c>
      <c r="AG15" s="926" t="str">
        <f>'Información General'!AJ14</f>
        <v>* Administración</v>
      </c>
      <c r="AH15" s="1205" t="str">
        <f>'Información General'!AK14</f>
        <v>($)</v>
      </c>
      <c r="AI15" s="1221">
        <f>'Información General'!AL14</f>
        <v>0</v>
      </c>
      <c r="AK15" s="926"/>
      <c r="AL15" s="608" t="str">
        <f t="shared" si="3"/>
        <v>XXX</v>
      </c>
      <c r="AM15" s="608"/>
      <c r="AN15" s="1241">
        <f t="shared" si="4"/>
        <v>0</v>
      </c>
      <c r="AO15" s="1242"/>
      <c r="AR15" s="926" t="str">
        <f>+'V. Indicadores'!B16</f>
        <v>Superficie total utilizable</v>
      </c>
      <c r="AS15" s="612" t="str">
        <f>+'V. Indicadores'!C16</f>
        <v>Ha</v>
      </c>
      <c r="AT15" s="1216">
        <f>+'V. Indicadores'!D16</f>
        <v>0</v>
      </c>
      <c r="AX15" s="926" t="str">
        <f>+'V. Indicadores'!L56</f>
        <v>EH ordeño/EH totales</v>
      </c>
      <c r="AY15" s="612" t="str">
        <f>+'V. Indicadores'!M56</f>
        <v>%</v>
      </c>
      <c r="AZ15" s="1006">
        <f>+'V. Indicadores'!N56</f>
        <v>0</v>
      </c>
      <c r="BC15" s="1133" t="str">
        <f>+'V. Indicadores'!T53</f>
        <v>Consumo de concentrado</v>
      </c>
      <c r="BD15" s="612" t="str">
        <f>+'V. Indicadores'!U53</f>
        <v>kg/cab</v>
      </c>
      <c r="BE15" s="1232">
        <f>+'V. Indicadores'!V53</f>
        <v>0</v>
      </c>
      <c r="BH15" s="926" t="str">
        <f>+'V. Indicadores'!Z17</f>
        <v>XXX</v>
      </c>
      <c r="BI15" s="612" t="str">
        <f>+'V. Indicadores'!AA17</f>
        <v>qq/ha</v>
      </c>
      <c r="BJ15" s="996">
        <f>+'V. Indicadores'!AB17</f>
        <v>0</v>
      </c>
      <c r="BL15" s="1395"/>
      <c r="BM15" s="935">
        <f>'II. Datos  Ganaderos'!AF27*'II. Datos  Ganaderos'!AE27</f>
        <v>0</v>
      </c>
      <c r="BN15" s="1395"/>
      <c r="BO15" s="1400"/>
      <c r="BP15" s="1399" t="s">
        <v>900</v>
      </c>
      <c r="BQ15" s="1399"/>
      <c r="BR15" s="1399">
        <f>(BQ14+BP14)/2</f>
        <v>0</v>
      </c>
      <c r="BS15" s="1395"/>
      <c r="BT15" s="1396" t="s">
        <v>98</v>
      </c>
      <c r="BU15" s="1536">
        <f>SUM(BU6:BU14)</f>
        <v>0</v>
      </c>
      <c r="BW15" s="1395" t="str">
        <f>+'II. Datos  Ganaderos'!Q12</f>
        <v>                    4to año</v>
      </c>
      <c r="BX15" s="934">
        <f>'II. Datos  Ganaderos'!R12*'II. Datos  Ganaderos'!S12/12</f>
        <v>0</v>
      </c>
      <c r="BY15" s="934">
        <f>'II. Datos  Ganaderos'!R70*'II. Datos  Ganaderos'!S70/12</f>
        <v>0</v>
      </c>
      <c r="CQ15" s="1526" t="s">
        <v>901</v>
      </c>
      <c r="CT15" s="1507"/>
      <c r="CU15" s="1507"/>
      <c r="CV15" s="1504"/>
      <c r="DA15" s="1517" t="s">
        <v>902</v>
      </c>
      <c r="DB15" s="1395" t="s">
        <v>727</v>
      </c>
      <c r="DC15" s="1510">
        <f>IF(DC12=0,0,'II. Datos  Ganaderos'!AO44/'VII. Impresión'!DC12)</f>
        <v>0</v>
      </c>
      <c r="DD15" s="1508" t="s">
        <v>903</v>
      </c>
      <c r="DF15" s="1509">
        <f>'II. Datos  Ganaderos'!AN53</f>
        <v>0</v>
      </c>
      <c r="DI15" s="1517" t="s">
        <v>904</v>
      </c>
      <c r="DL15" s="1509">
        <f>IF('II. Datos  Ganaderos'!AN32=0,0,+DL8/('II. Datos  Ganaderos'!AN32))</f>
        <v>0</v>
      </c>
    </row>
    <row r="16" spans="1:116" ht="16.5" customHeight="1" thickBot="1">
      <c r="A16" s="1076"/>
      <c r="B16" s="1077"/>
      <c r="C16" s="1080"/>
      <c r="D16" s="1004" t="str">
        <f>'II. Datos  Ganaderos'!AL28</f>
        <v>Vacas</v>
      </c>
      <c r="E16" s="1078">
        <f>'II. Datos  Ganaderos'!AN57</f>
        <v>0</v>
      </c>
      <c r="F16" s="970">
        <f>'II. Datos  Ganaderos'!AM57</f>
        <v>0</v>
      </c>
      <c r="H16" s="1235"/>
      <c r="M16" s="966" t="str">
        <f>+'II. Datos  Ganaderos'!Q17</f>
        <v>  Silo Maiz</v>
      </c>
      <c r="N16" s="675">
        <f>IF(O16=0,0,+'II. Datos  Ganaderos'!T17)</f>
        <v>0</v>
      </c>
      <c r="O16" s="1037">
        <f>+'VII. Impresión'!BX20</f>
        <v>0</v>
      </c>
      <c r="P16" s="675"/>
      <c r="S16" s="966" t="s">
        <v>905</v>
      </c>
      <c r="T16" s="675"/>
      <c r="U16" s="1216">
        <f>SUM('II. Datos  Ganaderos'!AG71:AG73)</f>
        <v>0</v>
      </c>
      <c r="X16" s="608"/>
      <c r="Z16" s="966" t="s">
        <v>905</v>
      </c>
      <c r="AA16" s="675"/>
      <c r="AB16" s="1216">
        <f>SUM('II. Datos  Ganaderos'!AE71:AE73)</f>
        <v>0</v>
      </c>
      <c r="AC16" s="675" t="str">
        <f>'II. Datos  Ganaderos'!Z121</f>
        <v>* .......................</v>
      </c>
      <c r="AD16" s="675"/>
      <c r="AE16" s="1216">
        <f>+'II. Datos  Ganaderos'!AE121</f>
        <v>0</v>
      </c>
      <c r="AG16" s="926" t="str">
        <f>'Información General'!AJ15</f>
        <v>* Retrib. Mano de Obra fliar </v>
      </c>
      <c r="AH16" s="1205" t="str">
        <f>'Información General'!AK15</f>
        <v>($)</v>
      </c>
      <c r="AI16" s="1221">
        <f>'Información General'!AL15</f>
        <v>0</v>
      </c>
      <c r="AK16" s="926"/>
      <c r="AL16" s="608" t="str">
        <f t="shared" si="3"/>
        <v>XXX</v>
      </c>
      <c r="AM16" s="608"/>
      <c r="AN16" s="1241">
        <f t="shared" si="4"/>
        <v>0</v>
      </c>
      <c r="AO16" s="1242"/>
      <c r="AR16" s="926" t="str">
        <f>+'V. Indicadores'!B18</f>
        <v>Superficie efect. ganadera (tambo+invernada)</v>
      </c>
      <c r="AS16" s="612" t="str">
        <f>+'V. Indicadores'!C18</f>
        <v>Ha</v>
      </c>
      <c r="AT16" s="1216">
        <f>+'V. Indicadores'!D18</f>
        <v>0</v>
      </c>
      <c r="AX16" s="927"/>
      <c r="AY16" s="1009"/>
      <c r="AZ16" s="997"/>
      <c r="BC16" s="1133" t="str">
        <f>+'V. Indicadores'!T54</f>
        <v>Consumo de concentrado</v>
      </c>
      <c r="BD16" s="612" t="str">
        <f>+'V. Indicadores'!U54</f>
        <v>kg/kg producido</v>
      </c>
      <c r="BE16" s="1134">
        <f>+'V. Indicadores'!V54</f>
        <v>0</v>
      </c>
      <c r="BH16" s="926" t="str">
        <f>+'V. Indicadores'!Z18</f>
        <v>XXX</v>
      </c>
      <c r="BI16" s="612" t="str">
        <f>+'V. Indicadores'!AA18</f>
        <v>qq/ha</v>
      </c>
      <c r="BJ16" s="996">
        <f>+'V. Indicadores'!AB18</f>
        <v>0</v>
      </c>
      <c r="BL16" s="1395"/>
      <c r="BM16" s="935">
        <f>'II. Datos  Ganaderos'!AF28*'II. Datos  Ganaderos'!AE28</f>
        <v>0</v>
      </c>
      <c r="BN16" s="1395"/>
      <c r="BO16" s="1398" t="s">
        <v>330</v>
      </c>
      <c r="BP16" s="934"/>
      <c r="BQ16" s="934"/>
      <c r="BR16" s="934"/>
      <c r="BS16" s="1395"/>
      <c r="BT16" s="1395"/>
      <c r="BU16" s="935"/>
      <c r="BW16" s="1395" t="str">
        <f>+'II. Datos  Ganaderos'!Q13</f>
        <v> Rastrojo</v>
      </c>
      <c r="BX16" s="934">
        <f>'II. Datos  Ganaderos'!R13*'II. Datos  Ganaderos'!S13/12</f>
        <v>0</v>
      </c>
      <c r="BY16" s="934">
        <f>'II. Datos  Ganaderos'!R71*'II. Datos  Ganaderos'!S71/12</f>
        <v>0</v>
      </c>
      <c r="CQ16" s="1507" t="s">
        <v>684</v>
      </c>
      <c r="CR16" s="1507" t="s">
        <v>906</v>
      </c>
      <c r="CS16" s="1395" t="s">
        <v>907</v>
      </c>
      <c r="CT16" s="1395" t="s">
        <v>908</v>
      </c>
      <c r="CU16" s="1504" t="s">
        <v>664</v>
      </c>
      <c r="CV16" s="1527" t="s">
        <v>655</v>
      </c>
      <c r="CW16" s="1527" t="s">
        <v>266</v>
      </c>
      <c r="CX16" s="1504" t="s">
        <v>685</v>
      </c>
      <c r="CY16" s="1528" t="s">
        <v>909</v>
      </c>
      <c r="DA16" s="1517" t="s">
        <v>910</v>
      </c>
      <c r="DC16" s="1510">
        <f>IF('II. Datos  Ganaderos'!AN32=0,0,+'II. Datos  Ganaderos'!AN35/'II. Datos  Ganaderos'!AN32)</f>
        <v>0</v>
      </c>
      <c r="DD16" s="1517" t="s">
        <v>911</v>
      </c>
      <c r="DE16" s="1527"/>
      <c r="DF16" s="1509">
        <f>'II. Datos  Ganaderos'!AN58</f>
        <v>0</v>
      </c>
      <c r="DI16" s="1517" t="s">
        <v>912</v>
      </c>
      <c r="DL16" s="1509">
        <f>IF('II. Datos  Ganaderos'!AN35=0,0,+DL8/'II. Datos  Ganaderos'!AN35)</f>
        <v>0</v>
      </c>
    </row>
    <row r="17" spans="1:116" ht="16.5" customHeight="1" thickBot="1">
      <c r="A17" s="1081" t="s">
        <v>718</v>
      </c>
      <c r="B17" s="1082">
        <f>SUM(B7:B16)</f>
        <v>0</v>
      </c>
      <c r="C17" s="618"/>
      <c r="D17" s="1081" t="s">
        <v>718</v>
      </c>
      <c r="E17" s="1082">
        <f>SUM(E6:E16)-E11</f>
        <v>0</v>
      </c>
      <c r="F17" s="618"/>
      <c r="H17" s="1235"/>
      <c r="M17" s="966" t="str">
        <f>+'II. Datos  Ganaderos'!Q18</f>
        <v>  Silo Sorgo</v>
      </c>
      <c r="N17" s="675">
        <f>IF(O17=0,0,+'II. Datos  Ganaderos'!T18)</f>
        <v>0</v>
      </c>
      <c r="O17" s="1037">
        <f>+'VII. Impresión'!BX21</f>
        <v>0</v>
      </c>
      <c r="P17" s="675"/>
      <c r="S17" s="966" t="s">
        <v>913</v>
      </c>
      <c r="T17" s="675"/>
      <c r="U17" s="1216">
        <f>SUM('II. Datos  Ganaderos'!AG74:AG75)</f>
        <v>0</v>
      </c>
      <c r="V17" s="675"/>
      <c r="W17" s="675"/>
      <c r="X17" s="607"/>
      <c r="Z17" s="966" t="s">
        <v>913</v>
      </c>
      <c r="AA17" s="675"/>
      <c r="AB17" s="1216">
        <f>SUM('II. Datos  Ganaderos'!AE74:AE75)</f>
        <v>0</v>
      </c>
      <c r="AC17" s="969" t="str">
        <f>'II. Datos  Ganaderos'!Z122</f>
        <v>* .......................</v>
      </c>
      <c r="AD17" s="978"/>
      <c r="AE17" s="1217">
        <f>+'II. Datos  Ganaderos'!AE122</f>
        <v>0</v>
      </c>
      <c r="AG17" s="926" t="str">
        <f>'Información General'!AJ16</f>
        <v>                                         EH</v>
      </c>
      <c r="AH17" s="611">
        <f>'Información General'!AK16</f>
        <v>0</v>
      </c>
      <c r="AI17" s="1221">
        <f>'Información General'!AL16</f>
        <v>0</v>
      </c>
      <c r="AK17" s="926"/>
      <c r="AL17" s="608" t="str">
        <f t="shared" si="3"/>
        <v>XXX</v>
      </c>
      <c r="AM17" s="608"/>
      <c r="AN17" s="1241">
        <f t="shared" si="4"/>
        <v>0</v>
      </c>
      <c r="AO17" s="1242"/>
      <c r="AR17" s="926" t="str">
        <f>+'V. Indicadores'!B19</f>
        <v>        Praderas </v>
      </c>
      <c r="AS17" s="612" t="str">
        <f>+'V. Indicadores'!C19</f>
        <v>Ha</v>
      </c>
      <c r="AT17" s="1216">
        <f>+'V. Indicadores'!D19</f>
        <v>0</v>
      </c>
      <c r="AX17" s="1022" t="s">
        <v>914</v>
      </c>
      <c r="AY17" s="961"/>
      <c r="AZ17" s="993"/>
      <c r="BC17" s="1133" t="str">
        <f>+'V. Indicadores'!T55</f>
        <v>Duración invernada novillos</v>
      </c>
      <c r="BD17" s="612" t="str">
        <f>+'V. Indicadores'!U55</f>
        <v>meses</v>
      </c>
      <c r="BE17" s="1135">
        <f>+'V. Indicadores'!V55</f>
        <v>0</v>
      </c>
      <c r="BH17" s="926" t="str">
        <f>+'V. Indicadores'!Z19</f>
        <v>XXX</v>
      </c>
      <c r="BI17" s="612" t="str">
        <f>+'V. Indicadores'!AA19</f>
        <v>qq/ha</v>
      </c>
      <c r="BJ17" s="996">
        <f>+'V. Indicadores'!AB19</f>
        <v>0</v>
      </c>
      <c r="BL17" s="1395"/>
      <c r="BM17" s="935">
        <f>SUM(BM13:BM16)</f>
        <v>0</v>
      </c>
      <c r="BN17" s="1395"/>
      <c r="BO17" s="934" t="str">
        <f>'II. Datos  Ganaderos'!AL17</f>
        <v>Novillos</v>
      </c>
      <c r="BP17" s="934">
        <f>'II. Datos  Ganaderos'!AN17*'II. Datos  Ganaderos'!AO17</f>
        <v>0</v>
      </c>
      <c r="BQ17" s="934">
        <f>'II. Datos  Ganaderos'!AQ17*'II. Datos  Ganaderos'!AR17</f>
        <v>0</v>
      </c>
      <c r="BR17" s="934">
        <f aca="true" t="shared" si="5" ref="BR17:BR26">BQ17-BP17</f>
        <v>0</v>
      </c>
      <c r="BS17" s="1395"/>
      <c r="BT17" s="1395"/>
      <c r="BU17" s="935">
        <f>('II. Datos  Ganaderos'!AQ17*'II. Datos  Ganaderos'!AR17*'II. Datos  Ganaderos'!AS17)-('II. Datos  Ganaderos'!AN17*'II. Datos  Ganaderos'!AO17*'II. Datos  Ganaderos'!AP17)</f>
        <v>0</v>
      </c>
      <c r="BW17" s="1395" t="str">
        <f>+'II. Datos  Ganaderos'!Q14</f>
        <v>  Campo natural</v>
      </c>
      <c r="BX17" s="934">
        <f>'II. Datos  Ganaderos'!R14*'II. Datos  Ganaderos'!S14/12</f>
        <v>0</v>
      </c>
      <c r="BY17" s="934">
        <f>'II. Datos  Ganaderos'!R72*'II. Datos  Ganaderos'!S72/12</f>
        <v>0</v>
      </c>
      <c r="CQ17" s="1507"/>
      <c r="CR17" s="1527" t="s">
        <v>805</v>
      </c>
      <c r="CU17" s="1515" t="s">
        <v>511</v>
      </c>
      <c r="CV17" s="1527" t="s">
        <v>511</v>
      </c>
      <c r="CW17" s="1504" t="s">
        <v>511</v>
      </c>
      <c r="CX17" s="1515" t="s">
        <v>511</v>
      </c>
      <c r="DA17" s="1517" t="s">
        <v>915</v>
      </c>
      <c r="DB17" s="1395" t="s">
        <v>419</v>
      </c>
      <c r="DC17" s="1516">
        <f>IF('II. Datos  Ganaderos'!AN35+'II. Datos  Ganaderos'!AN36=0,0,SUM('II. Datos  Ganaderos'!AA8:'II. Datos  Ganaderos'!AA9)/('II. Datos  Ganaderos'!AN35+'II. Datos  Ganaderos'!AN36))</f>
        <v>0</v>
      </c>
      <c r="DD17" s="1517" t="s">
        <v>902</v>
      </c>
      <c r="DE17" s="1507" t="s">
        <v>727</v>
      </c>
      <c r="DF17" s="1509">
        <f>IF(DF12=0,0,('II. Datos  Ganaderos'!AO53+'II. Datos  Ganaderos'!AO58)/DF12)</f>
        <v>0</v>
      </c>
      <c r="DI17" s="1508" t="s">
        <v>916</v>
      </c>
      <c r="DL17" s="1509">
        <f>IF(DC12=0,0,+DL8/'VII. Impresión'!DC12)</f>
        <v>0</v>
      </c>
    </row>
    <row r="18" spans="8:116" ht="16.5" customHeight="1" thickBot="1">
      <c r="H18" s="1235"/>
      <c r="M18" s="966" t="str">
        <f>+'II. Datos  Ganaderos'!Q19</f>
        <v>  Otro cultivo para silo</v>
      </c>
      <c r="N18" s="675">
        <f>IF(O18=0,0,+'II. Datos  Ganaderos'!T19)</f>
        <v>0</v>
      </c>
      <c r="O18" s="1037">
        <f>+'VII. Impresión'!BX22</f>
        <v>0</v>
      </c>
      <c r="P18" s="675"/>
      <c r="S18" s="966" t="s">
        <v>917</v>
      </c>
      <c r="T18" s="675"/>
      <c r="U18" s="1216">
        <f>+'II. Datos  Ganaderos'!AG76</f>
        <v>0</v>
      </c>
      <c r="X18" s="608"/>
      <c r="Z18" s="966" t="s">
        <v>917</v>
      </c>
      <c r="AA18" s="675"/>
      <c r="AB18" s="1216">
        <f>+'II. Datos  Ganaderos'!AE76</f>
        <v>0</v>
      </c>
      <c r="AC18" s="989" t="s">
        <v>918</v>
      </c>
      <c r="AD18" s="982"/>
      <c r="AE18" s="1218">
        <f>'II. Datos  Ganaderos'!AE123</f>
        <v>0</v>
      </c>
      <c r="AG18" s="926" t="str">
        <f>'Información General'!AJ17</f>
        <v>* Varios</v>
      </c>
      <c r="AH18" s="1205" t="str">
        <f>'Información General'!AK17</f>
        <v>($)</v>
      </c>
      <c r="AI18" s="1221">
        <f>'Información General'!AL17</f>
        <v>0</v>
      </c>
      <c r="AK18" s="926"/>
      <c r="AL18" s="608" t="str">
        <f t="shared" si="3"/>
        <v>XXX</v>
      </c>
      <c r="AM18" s="608"/>
      <c r="AN18" s="1241">
        <f t="shared" si="4"/>
        <v>0</v>
      </c>
      <c r="AO18" s="1242"/>
      <c r="AR18" s="926" t="str">
        <f>+'V. Indicadores'!B20</f>
        <v>        Verdeos </v>
      </c>
      <c r="AS18" s="612" t="str">
        <f>+'V. Indicadores'!C20</f>
        <v>Ha</v>
      </c>
      <c r="AT18" s="1216">
        <f>+'V. Indicadores'!D20</f>
        <v>0</v>
      </c>
      <c r="AX18" s="923" t="str">
        <f>+'V. Indicadores'!L59</f>
        <v>Incorporaciones de Capital/SAU</v>
      </c>
      <c r="AY18" s="1007" t="str">
        <f>+'V. Indicadores'!M59</f>
        <v>$/ha</v>
      </c>
      <c r="AZ18" s="925">
        <f>+'V. Indicadores'!N59</f>
        <v>0</v>
      </c>
      <c r="BC18" s="1133" t="str">
        <f>+'V. Indicadores'!T56</f>
        <v>Ganancia de peso novillos</v>
      </c>
      <c r="BD18" s="612" t="str">
        <f>+'V. Indicadores'!U56</f>
        <v>GDPV (kg/día)</v>
      </c>
      <c r="BE18" s="1134">
        <f>+'V. Indicadores'!V56</f>
        <v>0</v>
      </c>
      <c r="BH18" s="926" t="str">
        <f>+'V. Indicadores'!Z20</f>
        <v>XXX</v>
      </c>
      <c r="BI18" s="612" t="str">
        <f>+'V. Indicadores'!AA20</f>
        <v>qq/ha</v>
      </c>
      <c r="BJ18" s="996">
        <f>+'V. Indicadores'!AB20</f>
        <v>0</v>
      </c>
      <c r="BK18" s="942"/>
      <c r="BL18" s="1395"/>
      <c r="BM18" s="1395"/>
      <c r="BN18" s="1395"/>
      <c r="BO18" s="934" t="str">
        <f>'II. Datos  Ganaderos'!AL18</f>
        <v>Novillitos</v>
      </c>
      <c r="BP18" s="934">
        <f>'II. Datos  Ganaderos'!AN18*'II. Datos  Ganaderos'!AO18</f>
        <v>0</v>
      </c>
      <c r="BQ18" s="934">
        <f>'II. Datos  Ganaderos'!AQ18*'II. Datos  Ganaderos'!AR18</f>
        <v>0</v>
      </c>
      <c r="BR18" s="934">
        <f t="shared" si="5"/>
        <v>0</v>
      </c>
      <c r="BS18" s="1395"/>
      <c r="BT18" s="1395"/>
      <c r="BU18" s="935">
        <f>('II. Datos  Ganaderos'!AQ18*'II. Datos  Ganaderos'!AR18*'II. Datos  Ganaderos'!AS18)-('II. Datos  Ganaderos'!AN18*'II. Datos  Ganaderos'!AO18*'II. Datos  Ganaderos'!AP18)</f>
        <v>0</v>
      </c>
      <c r="BW18" s="1395" t="str">
        <f>+'II. Datos  Ganaderos'!Q15</f>
        <v>  Moha</v>
      </c>
      <c r="BX18" s="934">
        <f>'II. Datos  Ganaderos'!R15*'II. Datos  Ganaderos'!S15/12</f>
        <v>0</v>
      </c>
      <c r="BY18" s="934">
        <f>'II. Datos  Ganaderos'!R73*'II. Datos  Ganaderos'!S73/12</f>
        <v>0</v>
      </c>
      <c r="CQ18" s="1395" t="str">
        <f>+'III. Datos Agrícolas'!B3</f>
        <v>XXX</v>
      </c>
      <c r="CR18" s="1395">
        <f>+'III. Datos Agrícolas'!B89</f>
        <v>0</v>
      </c>
      <c r="CS18" s="1395">
        <f>SUM('III. Datos Agrícolas'!D48:D52)</f>
        <v>0</v>
      </c>
      <c r="CT18" s="1395">
        <f>SUM('III. Datos Agrícolas'!D54:D61)</f>
        <v>0</v>
      </c>
      <c r="CU18" s="1395">
        <f>SUM('III. Datos Agrícolas'!D63:D65)</f>
        <v>0</v>
      </c>
      <c r="CV18" s="1395">
        <f>+'III. Datos Agrícolas'!C94</f>
        <v>0</v>
      </c>
      <c r="CW18" s="1395">
        <f>+'III. Datos Agrícolas'!C100</f>
        <v>0</v>
      </c>
      <c r="CX18" s="1395">
        <f>+'III. Datos Agrícolas'!C96+'III. Datos Agrícolas'!C98</f>
        <v>0</v>
      </c>
      <c r="CY18" s="1395">
        <f>+'III. Datos Agrícolas'!B108</f>
        <v>0</v>
      </c>
      <c r="DA18" s="1517" t="s">
        <v>919</v>
      </c>
      <c r="DB18" s="1395" t="s">
        <v>419</v>
      </c>
      <c r="DC18" s="1516">
        <f>IF('II. Datos  Ganaderos'!AB21=0,0,'II. Datos  Ganaderos'!AB21/('II. Datos  Ganaderos'!AQ44))</f>
        <v>0</v>
      </c>
      <c r="DD18" s="1508"/>
      <c r="DE18" s="1507" t="s">
        <v>768</v>
      </c>
      <c r="DF18" s="1509">
        <f>IF(DF12=0,0,('II. Datos  Ganaderos'!AN53+'II. Datos  Ganaderos'!AN58)/DF12)</f>
        <v>0</v>
      </c>
      <c r="DI18" s="1508" t="s">
        <v>920</v>
      </c>
      <c r="DL18" s="1509">
        <f>IF(DC12=0,0,+DL9/DC12)</f>
        <v>0</v>
      </c>
    </row>
    <row r="19" spans="1:116" ht="16.5" customHeight="1">
      <c r="A19" s="618"/>
      <c r="B19" s="1209"/>
      <c r="C19" s="1210" t="s">
        <v>921</v>
      </c>
      <c r="D19" s="1209">
        <f>'II. Datos  Ganaderos'!AS44+'II. Datos  Ganaderos'!AS53</f>
        <v>0</v>
      </c>
      <c r="H19" s="1235"/>
      <c r="M19" s="966" t="str">
        <f>+'II. Datos  Ganaderos'!Q20</f>
        <v>  Avena</v>
      </c>
      <c r="N19" s="675">
        <f>IF(O19=0,0,+'II. Datos  Ganaderos'!T20)</f>
        <v>0</v>
      </c>
      <c r="O19" s="1037">
        <f>+'VII. Impresión'!BX23</f>
        <v>0</v>
      </c>
      <c r="P19" s="675"/>
      <c r="S19" s="966" t="str">
        <f>'II. Datos  Ganaderos'!Z77</f>
        <v>  Confección de silo pack</v>
      </c>
      <c r="T19" s="675"/>
      <c r="U19" s="1216">
        <f>+'II. Datos  Ganaderos'!AG77</f>
        <v>0</v>
      </c>
      <c r="X19" s="608"/>
      <c r="Z19" s="966" t="str">
        <f>'II. Datos  Ganaderos'!Z77</f>
        <v>  Confección de silo pack</v>
      </c>
      <c r="AA19" s="675"/>
      <c r="AB19" s="1216">
        <f>+'II. Datos  Ganaderos'!AE77</f>
        <v>0</v>
      </c>
      <c r="AG19" s="926" t="str">
        <f>'Información General'!AJ18</f>
        <v>* Asesoramiento técnico</v>
      </c>
      <c r="AH19" s="1205" t="str">
        <f>'Información General'!AK18</f>
        <v>($)</v>
      </c>
      <c r="AI19" s="1221">
        <f>'Información General'!AL18</f>
        <v>0</v>
      </c>
      <c r="AK19" s="926"/>
      <c r="AL19" s="608" t="str">
        <f t="shared" si="3"/>
        <v>XXX</v>
      </c>
      <c r="AM19" s="608"/>
      <c r="AN19" s="1241">
        <f t="shared" si="4"/>
        <v>0</v>
      </c>
      <c r="AO19" s="1242"/>
      <c r="AR19" s="926" t="str">
        <f>+'V. Indicadores'!B21</f>
        <v>        Silo</v>
      </c>
      <c r="AS19" s="612" t="str">
        <f>+'V. Indicadores'!C21</f>
        <v>Ha</v>
      </c>
      <c r="AT19" s="1216">
        <f>+'V. Indicadores'!D21</f>
        <v>0</v>
      </c>
      <c r="AX19" s="926" t="str">
        <f>+'V. Indicadores'!L60</f>
        <v>Capital Agrario/EH</v>
      </c>
      <c r="AY19" s="612" t="str">
        <f>+'V. Indicadores'!M60</f>
        <v>$/EH</v>
      </c>
      <c r="AZ19" s="996">
        <f>+'V. Indicadores'!N60</f>
        <v>0</v>
      </c>
      <c r="BC19" s="1133" t="str">
        <f>+'V. Indicadores'!T57</f>
        <v>Duración invernada vaquillonas</v>
      </c>
      <c r="BD19" s="612" t="str">
        <f>+'V. Indicadores'!U57</f>
        <v>meses</v>
      </c>
      <c r="BE19" s="1135">
        <f>+'V. Indicadores'!V57</f>
        <v>0</v>
      </c>
      <c r="BH19" s="926" t="str">
        <f>+'V. Indicadores'!Z21</f>
        <v>XXX</v>
      </c>
      <c r="BI19" s="612" t="str">
        <f>+'V. Indicadores'!AA21</f>
        <v>qq/ha</v>
      </c>
      <c r="BJ19" s="996">
        <f>+'V. Indicadores'!AB21</f>
        <v>0</v>
      </c>
      <c r="BL19" s="1395"/>
      <c r="BM19" s="1395"/>
      <c r="BN19" s="1395"/>
      <c r="BO19" s="934" t="str">
        <f>'II. Datos  Ganaderos'!AL19</f>
        <v>Terneros</v>
      </c>
      <c r="BP19" s="934">
        <f>'II. Datos  Ganaderos'!AN19*'II. Datos  Ganaderos'!AO19</f>
        <v>0</v>
      </c>
      <c r="BQ19" s="934">
        <f>'II. Datos  Ganaderos'!AQ19*'II. Datos  Ganaderos'!AR19</f>
        <v>0</v>
      </c>
      <c r="BR19" s="934">
        <f t="shared" si="5"/>
        <v>0</v>
      </c>
      <c r="BS19" s="1395"/>
      <c r="BT19" s="1395"/>
      <c r="BU19" s="935">
        <f>('II. Datos  Ganaderos'!AQ19*'II. Datos  Ganaderos'!AR19*'II. Datos  Ganaderos'!AS19)-('II. Datos  Ganaderos'!AN19*'II. Datos  Ganaderos'!AO19*'II. Datos  Ganaderos'!AP19)</f>
        <v>0</v>
      </c>
      <c r="BW19" s="1395" t="str">
        <f>+'II. Datos  Ganaderos'!Q16</f>
        <v>  Sorgo forrajero</v>
      </c>
      <c r="BX19" s="934">
        <f>'II. Datos  Ganaderos'!R16*'II. Datos  Ganaderos'!S16/12</f>
        <v>0</v>
      </c>
      <c r="BY19" s="934">
        <f>'II. Datos  Ganaderos'!R74*'II. Datos  Ganaderos'!S74/12</f>
        <v>0</v>
      </c>
      <c r="CQ19" s="1395" t="str">
        <f>+'III. Datos Agrícolas'!G3</f>
        <v>XXX</v>
      </c>
      <c r="CR19" s="1395">
        <f>+'III. Datos Agrícolas'!G89</f>
        <v>0</v>
      </c>
      <c r="CS19" s="1395">
        <f>SUM('III. Datos Agrícolas'!I48:I52)</f>
        <v>0</v>
      </c>
      <c r="CT19" s="1395">
        <f>SUM('III. Datos Agrícolas'!I54:I61)</f>
        <v>0</v>
      </c>
      <c r="CU19" s="1395">
        <f>SUM('III. Datos Agrícolas'!I63:I65)</f>
        <v>0</v>
      </c>
      <c r="CV19" s="1395">
        <f>+'III. Datos Agrícolas'!H94</f>
        <v>0</v>
      </c>
      <c r="CW19" s="1395">
        <f>+'III. Datos Agrícolas'!H100</f>
        <v>0</v>
      </c>
      <c r="CX19" s="1395">
        <f>+'III. Datos Agrícolas'!H96+'III. Datos Agrícolas'!H98</f>
        <v>0</v>
      </c>
      <c r="CY19" s="1395">
        <f>+'III. Datos Agrícolas'!C108</f>
        <v>0</v>
      </c>
      <c r="DA19" s="1517" t="s">
        <v>418</v>
      </c>
      <c r="DB19" s="1395" t="s">
        <v>419</v>
      </c>
      <c r="DC19" s="1516">
        <f>+'II. Datos  Ganaderos'!E21</f>
        <v>0</v>
      </c>
      <c r="DD19" s="1517"/>
      <c r="DE19" s="1507" t="s">
        <v>922</v>
      </c>
      <c r="DF19" s="1509">
        <f>IF(DF12=0,0,('II. Datos  Ganaderos'!AQ53+'II. Datos  Ganaderos'!AQ58)/DF12)</f>
        <v>0</v>
      </c>
      <c r="DI19" s="1517" t="s">
        <v>923</v>
      </c>
      <c r="DL19" s="1509">
        <f>DL6*33/(2.2046*4)</f>
        <v>0</v>
      </c>
    </row>
    <row r="20" spans="1:116" ht="16.5" customHeight="1">
      <c r="A20" s="618"/>
      <c r="B20" s="618"/>
      <c r="C20" s="618"/>
      <c r="H20" s="1235"/>
      <c r="M20" s="966" t="str">
        <f>+'II. Datos  Ganaderos'!Q21</f>
        <v>  Maíz para grano húmedo</v>
      </c>
      <c r="N20" s="675">
        <f>IF(O20=0,0,+'II. Datos  Ganaderos'!T21)</f>
        <v>0</v>
      </c>
      <c r="O20" s="1037">
        <f>+'VII. Impresión'!BX24</f>
        <v>0</v>
      </c>
      <c r="P20" s="675"/>
      <c r="S20" s="966" t="s">
        <v>924</v>
      </c>
      <c r="T20" s="675"/>
      <c r="U20" s="1216">
        <f>'II. Datos  Ganaderos'!AG78</f>
        <v>0</v>
      </c>
      <c r="V20" s="675"/>
      <c r="W20" s="675"/>
      <c r="X20" s="607"/>
      <c r="Z20" s="966" t="s">
        <v>924</v>
      </c>
      <c r="AA20" s="675"/>
      <c r="AB20" s="1216">
        <f>'II. Datos  Ganaderos'!AE78</f>
        <v>0</v>
      </c>
      <c r="AG20" s="926" t="str">
        <f>'Información General'!AJ19</f>
        <v>* Asesoramiento contable</v>
      </c>
      <c r="AH20" s="1205" t="str">
        <f>'Información General'!AK19</f>
        <v>($)</v>
      </c>
      <c r="AI20" s="1221">
        <f>'Información General'!AL19</f>
        <v>0</v>
      </c>
      <c r="AK20" s="926" t="str">
        <f>'Información General'!AN11</f>
        <v>Otros Ingresos provenientes de la Explotación</v>
      </c>
      <c r="AL20" s="608"/>
      <c r="AM20" s="608"/>
      <c r="AN20" s="1241"/>
      <c r="AO20" s="1242">
        <f>'Información General'!AP15</f>
        <v>0</v>
      </c>
      <c r="AR20" s="926" t="str">
        <f>+'V. Indicadores'!B24</f>
        <v>        Campo Natural</v>
      </c>
      <c r="AS20" s="612" t="str">
        <f>+'V. Indicadores'!C24</f>
        <v>Ha</v>
      </c>
      <c r="AT20" s="1216">
        <f>+'V. Indicadores'!D24</f>
        <v>0</v>
      </c>
      <c r="AX20" s="926" t="str">
        <f>+'V. Indicadores'!L61</f>
        <v>Grado de Intensidad Agraria</v>
      </c>
      <c r="AY20" s="612" t="str">
        <f>+'V. Indicadores'!M61</f>
        <v>V.C.A./SAU</v>
      </c>
      <c r="AZ20" s="1231">
        <f>+'V. Indicadores'!N61</f>
        <v>0</v>
      </c>
      <c r="BC20" s="1133" t="str">
        <f>+'V. Indicadores'!T58</f>
        <v>Ganancia de peso vaquillonas</v>
      </c>
      <c r="BD20" s="612" t="str">
        <f>+'V. Indicadores'!U58</f>
        <v>GDPV (kg/día)</v>
      </c>
      <c r="BE20" s="1134">
        <f>+'V. Indicadores'!V58</f>
        <v>0</v>
      </c>
      <c r="BH20" s="926" t="str">
        <f>+'V. Indicadores'!Z22</f>
        <v>XXX</v>
      </c>
      <c r="BI20" s="612" t="str">
        <f>+'V. Indicadores'!AA22</f>
        <v>qq/ha</v>
      </c>
      <c r="BJ20" s="996">
        <f>+'V. Indicadores'!AB22</f>
        <v>0</v>
      </c>
      <c r="BL20" s="1395"/>
      <c r="BM20" s="1395"/>
      <c r="BN20" s="1395"/>
      <c r="BO20" s="934" t="str">
        <f>'II. Datos  Ganaderos'!AL20</f>
        <v>Vaquillonas</v>
      </c>
      <c r="BP20" s="934">
        <f>'II. Datos  Ganaderos'!AN20*'II. Datos  Ganaderos'!AO20</f>
        <v>0</v>
      </c>
      <c r="BQ20" s="934">
        <f>'II. Datos  Ganaderos'!AQ20*'II. Datos  Ganaderos'!AR20</f>
        <v>0</v>
      </c>
      <c r="BR20" s="934">
        <f t="shared" si="5"/>
        <v>0</v>
      </c>
      <c r="BS20" s="1395"/>
      <c r="BT20" s="1395"/>
      <c r="BU20" s="935">
        <f>('II. Datos  Ganaderos'!AQ20*'II. Datos  Ganaderos'!AR20*'II. Datos  Ganaderos'!AS20)-('II. Datos  Ganaderos'!AN20*'II. Datos  Ganaderos'!AO20*'II. Datos  Ganaderos'!AP20)</f>
        <v>0</v>
      </c>
      <c r="BW20" s="1395" t="str">
        <f>+'II. Datos  Ganaderos'!Q17</f>
        <v>  Silo Maiz</v>
      </c>
      <c r="BX20" s="934">
        <f>'II. Datos  Ganaderos'!R17*'II. Datos  Ganaderos'!S17/12</f>
        <v>0</v>
      </c>
      <c r="BY20" s="934">
        <f>'II. Datos  Ganaderos'!R75*'II. Datos  Ganaderos'!S75/12</f>
        <v>0</v>
      </c>
      <c r="CQ20" s="1395" t="str">
        <f>+'III. Datos Agrícolas'!L3</f>
        <v>XXX</v>
      </c>
      <c r="CR20" s="1395">
        <f>+'III. Datos Agrícolas'!L89</f>
        <v>0</v>
      </c>
      <c r="CS20" s="1395">
        <f>SUM('III. Datos Agrícolas'!N48:N52)</f>
        <v>0</v>
      </c>
      <c r="CT20" s="1395">
        <f>SUM('III. Datos Agrícolas'!N54:N61)</f>
        <v>0</v>
      </c>
      <c r="CU20" s="1395">
        <f>SUM('III. Datos Agrícolas'!N63:N65)</f>
        <v>0</v>
      </c>
      <c r="CV20" s="1395">
        <f>+'III. Datos Agrícolas'!M94</f>
        <v>0</v>
      </c>
      <c r="CW20" s="1395">
        <f>+'III. Datos Agrícolas'!M100</f>
        <v>0</v>
      </c>
      <c r="CX20" s="1395">
        <f>+'III. Datos Agrícolas'!M96+'III. Datos Agrícolas'!M98</f>
        <v>0</v>
      </c>
      <c r="CY20" s="1395">
        <f>+'III. Datos Agrícolas'!D108</f>
        <v>0</v>
      </c>
      <c r="DA20" s="1517" t="s">
        <v>423</v>
      </c>
      <c r="DB20" s="1395" t="s">
        <v>419</v>
      </c>
      <c r="DC20" s="1516">
        <f>+'II. Datos  Ganaderos'!E22</f>
        <v>0</v>
      </c>
      <c r="DD20" s="1517" t="s">
        <v>244</v>
      </c>
      <c r="DE20" s="1507" t="s">
        <v>419</v>
      </c>
      <c r="DF20" s="1529">
        <f>'II. Datos  Ganaderos'!E38</f>
        <v>0</v>
      </c>
      <c r="DI20" s="1517" t="s">
        <v>925</v>
      </c>
      <c r="DL20" s="1509">
        <f>DL19+DL8</f>
        <v>0</v>
      </c>
    </row>
    <row r="21" spans="1:116" ht="16.5" customHeight="1" thickBot="1">
      <c r="A21" s="610" t="s">
        <v>926</v>
      </c>
      <c r="B21" s="605"/>
      <c r="C21" s="605"/>
      <c r="D21" s="605"/>
      <c r="E21" s="605"/>
      <c r="F21" s="605"/>
      <c r="H21" s="1235"/>
      <c r="M21" s="966" t="str">
        <f>+'II. Datos  Ganaderos'!Q22</f>
        <v>  Sorgo para grano húmedo</v>
      </c>
      <c r="N21" s="675">
        <f>IF(O21=0,0,+'II. Datos  Ganaderos'!T22)</f>
        <v>0</v>
      </c>
      <c r="O21" s="1037">
        <f>+'VII. Impresión'!BX25</f>
        <v>0</v>
      </c>
      <c r="P21" s="675"/>
      <c r="S21" s="966" t="s">
        <v>927</v>
      </c>
      <c r="T21" s="675"/>
      <c r="U21" s="1216">
        <f>'II. Datos  Ganaderos'!AG79</f>
        <v>0</v>
      </c>
      <c r="X21" s="608"/>
      <c r="Z21" s="966" t="s">
        <v>927</v>
      </c>
      <c r="AA21" s="675"/>
      <c r="AB21" s="1216">
        <f>'II. Datos  Ganaderos'!AE79</f>
        <v>0</v>
      </c>
      <c r="AG21" s="926" t="str">
        <f>'Información General'!AJ20</f>
        <v>-------</v>
      </c>
      <c r="AH21" s="1205" t="str">
        <f>'Información General'!AK20</f>
        <v>($)</v>
      </c>
      <c r="AI21" s="1221">
        <f>'Información General'!AL20</f>
        <v>0</v>
      </c>
      <c r="AK21" s="966" t="s">
        <v>928</v>
      </c>
      <c r="AL21" s="618"/>
      <c r="AM21" s="618"/>
      <c r="AN21" s="1241"/>
      <c r="AO21" s="1244">
        <f>+AO3+AO7+AO10+AO20</f>
        <v>0</v>
      </c>
      <c r="AR21" s="926" t="str">
        <f>+'V. Indicadores'!B25</f>
        <v>        .......................</v>
      </c>
      <c r="AS21" s="612" t="str">
        <f>+'V. Indicadores'!C25</f>
        <v>Ha</v>
      </c>
      <c r="AT21" s="1216">
        <f>+'V. Indicadores'!D25</f>
        <v>0</v>
      </c>
      <c r="AX21" s="926" t="str">
        <f>+'V. Indicadores'!L62</f>
        <v>Grado mecanización</v>
      </c>
      <c r="AY21" s="612" t="str">
        <f>+'V. Indicadores'!M62</f>
        <v>V.Maq/SAU</v>
      </c>
      <c r="AZ21" s="996">
        <f>+'V. Indicadores'!N62</f>
        <v>0</v>
      </c>
      <c r="BC21" s="1133" t="str">
        <f>+'V. Indicadores'!T59</f>
        <v>Duración invernada vacas</v>
      </c>
      <c r="BD21" s="612" t="str">
        <f>+'V. Indicadores'!U59</f>
        <v>meses</v>
      </c>
      <c r="BE21" s="1135">
        <f>+'V. Indicadores'!V59</f>
        <v>0</v>
      </c>
      <c r="BH21" s="926" t="str">
        <f>+'V. Indicadores'!Z23</f>
        <v>XXX</v>
      </c>
      <c r="BI21" s="612" t="str">
        <f>+'V. Indicadores'!AA23</f>
        <v>qq/ha</v>
      </c>
      <c r="BJ21" s="996">
        <f>+'V. Indicadores'!AB23</f>
        <v>0</v>
      </c>
      <c r="BL21" s="1395"/>
      <c r="BM21" s="1395"/>
      <c r="BN21" s="1395"/>
      <c r="BO21" s="934" t="str">
        <f>'II. Datos  Ganaderos'!AL21</f>
        <v>Vacas</v>
      </c>
      <c r="BP21" s="934">
        <f>'II. Datos  Ganaderos'!AN21*'II. Datos  Ganaderos'!AO21</f>
        <v>0</v>
      </c>
      <c r="BQ21" s="934">
        <f>'II. Datos  Ganaderos'!AQ21*'II. Datos  Ganaderos'!AR21</f>
        <v>0</v>
      </c>
      <c r="BR21" s="934">
        <f t="shared" si="5"/>
        <v>0</v>
      </c>
      <c r="BS21" s="1395"/>
      <c r="BT21" s="1395"/>
      <c r="BU21" s="935">
        <f>('II. Datos  Ganaderos'!AQ21*'II. Datos  Ganaderos'!AR21*'II. Datos  Ganaderos'!AS21)-('II. Datos  Ganaderos'!AN21*'II. Datos  Ganaderos'!AO21*'II. Datos  Ganaderos'!AP21)</f>
        <v>0</v>
      </c>
      <c r="BW21" s="1395" t="str">
        <f>+'II. Datos  Ganaderos'!Q18</f>
        <v>  Silo Sorgo</v>
      </c>
      <c r="BX21" s="934">
        <f>'II. Datos  Ganaderos'!R18*'II. Datos  Ganaderos'!S18/12</f>
        <v>0</v>
      </c>
      <c r="BY21" s="934">
        <f>'II. Datos  Ganaderos'!R76*'II. Datos  Ganaderos'!S76/12</f>
        <v>0</v>
      </c>
      <c r="CQ21" s="1395" t="str">
        <f>+'III. Datos Agrícolas'!Q3</f>
        <v>XXX</v>
      </c>
      <c r="CR21" s="1395">
        <f>+'III. Datos Agrícolas'!Q89</f>
        <v>0</v>
      </c>
      <c r="CS21" s="1395">
        <f>SUM('III. Datos Agrícolas'!S48:S52)</f>
        <v>0</v>
      </c>
      <c r="CT21" s="1395">
        <f>SUM('III. Datos Agrícolas'!S54:S61)</f>
        <v>0</v>
      </c>
      <c r="CU21" s="1395">
        <f>SUM('III. Datos Agrícolas'!S63:S65)</f>
        <v>0</v>
      </c>
      <c r="CV21" s="1395">
        <f>+'III. Datos Agrícolas'!R94</f>
        <v>0</v>
      </c>
      <c r="CW21" s="1395">
        <f>+'III. Datos Agrícolas'!R100</f>
        <v>0</v>
      </c>
      <c r="CX21" s="1395">
        <f>+'III. Datos Agrícolas'!R96+'III. Datos Agrícolas'!R98</f>
        <v>0</v>
      </c>
      <c r="CY21" s="1395">
        <f>+'III. Datos Agrícolas'!E108</f>
        <v>0</v>
      </c>
      <c r="DA21" s="1517" t="s">
        <v>929</v>
      </c>
      <c r="DB21" s="1395" t="s">
        <v>419</v>
      </c>
      <c r="DC21" s="1516">
        <f>+'II. Datos  Ganaderos'!E34</f>
        <v>0</v>
      </c>
      <c r="DD21" s="1511" t="s">
        <v>930</v>
      </c>
      <c r="DE21" s="1527" t="s">
        <v>931</v>
      </c>
      <c r="DF21" s="1507" t="s">
        <v>932</v>
      </c>
      <c r="DI21" s="1508" t="s">
        <v>933</v>
      </c>
      <c r="DL21" s="1509">
        <f>IF(DC12=0,0,DL20/DC12)</f>
        <v>0</v>
      </c>
    </row>
    <row r="22" spans="1:116" ht="16.5" customHeight="1" thickBot="1">
      <c r="A22" s="1083" t="s">
        <v>329</v>
      </c>
      <c r="B22" s="1084"/>
      <c r="D22" s="1104" t="s">
        <v>330</v>
      </c>
      <c r="E22" s="1084"/>
      <c r="H22" s="1235"/>
      <c r="M22" s="966" t="str">
        <f>+'II. Datos  Ganaderos'!Q23</f>
        <v>TOTAL OFERTA</v>
      </c>
      <c r="N22" s="675"/>
      <c r="O22" s="1037">
        <f>+'VII. Impresión'!BX26</f>
        <v>0</v>
      </c>
      <c r="P22" s="675"/>
      <c r="S22" s="983" t="str">
        <f>'II. Datos  Ganaderos'!Z91</f>
        <v>*Concentrados  INVERNADA</v>
      </c>
      <c r="T22" s="969"/>
      <c r="U22" s="1217">
        <f>+'II. Datos  Ganaderos'!AG91</f>
        <v>0</v>
      </c>
      <c r="V22" s="675"/>
      <c r="W22" s="675"/>
      <c r="X22" s="607"/>
      <c r="Z22" s="966" t="str">
        <f>'II. Datos  Ganaderos'!Z80</f>
        <v>*Concentrados  TAMBO</v>
      </c>
      <c r="AA22" s="675"/>
      <c r="AB22" s="1216">
        <f>+SUM('II. Datos  Ganaderos'!AE81:AE88)</f>
        <v>0</v>
      </c>
      <c r="AG22" s="926" t="str">
        <f>'Información General'!AJ21</f>
        <v>-------</v>
      </c>
      <c r="AH22" s="1205" t="str">
        <f>'Información General'!AK21</f>
        <v>($)</v>
      </c>
      <c r="AI22" s="1221">
        <f>'Información General'!AL21</f>
        <v>0</v>
      </c>
      <c r="AK22" s="966" t="s">
        <v>934</v>
      </c>
      <c r="AL22" s="608"/>
      <c r="AM22" s="608"/>
      <c r="AN22" s="1241"/>
      <c r="AO22" s="1244">
        <f>SUM(AO23:AO25)</f>
        <v>0</v>
      </c>
      <c r="AR22" s="926" t="str">
        <f>+'V. Indicadores'!B26</f>
        <v>Superficie dedicada a Tambo</v>
      </c>
      <c r="AS22" s="612" t="str">
        <f>+'V. Indicadores'!C26</f>
        <v>Ha</v>
      </c>
      <c r="AT22" s="1216">
        <f>+'V. Indicadores'!D26</f>
        <v>0</v>
      </c>
      <c r="AX22" s="926" t="str">
        <f>+'V. Indicadores'!L63</f>
        <v>Gastos Estructura/G.totales</v>
      </c>
      <c r="AY22" s="612" t="str">
        <f>+'V. Indicadores'!M63</f>
        <v>$/$</v>
      </c>
      <c r="AZ22" s="1020">
        <f>+'V. Indicadores'!N63</f>
        <v>0</v>
      </c>
      <c r="BC22" s="1133" t="str">
        <f>+'V. Indicadores'!T60</f>
        <v>Ganancia de peso vacas</v>
      </c>
      <c r="BD22" s="612" t="str">
        <f>+'V. Indicadores'!U60</f>
        <v>GDPV (kg/día)</v>
      </c>
      <c r="BE22" s="1134">
        <f>+'V. Indicadores'!V60</f>
        <v>0</v>
      </c>
      <c r="BH22" s="1495" t="s">
        <v>1199</v>
      </c>
      <c r="BI22" s="668"/>
      <c r="BJ22" s="993"/>
      <c r="BL22" s="1395"/>
      <c r="BM22" s="1395"/>
      <c r="BN22" s="1395"/>
      <c r="BO22" s="934" t="str">
        <f>'II. Datos  Ganaderos'!AL22</f>
        <v>Equinos</v>
      </c>
      <c r="BP22" s="934">
        <f>'II. Datos  Ganaderos'!AN22*'II. Datos  Ganaderos'!AO22</f>
        <v>0</v>
      </c>
      <c r="BQ22" s="934">
        <f>'II. Datos  Ganaderos'!AQ22*'II. Datos  Ganaderos'!AR22</f>
        <v>0</v>
      </c>
      <c r="BR22" s="934">
        <f t="shared" si="5"/>
        <v>0</v>
      </c>
      <c r="BS22" s="1395"/>
      <c r="BT22" s="1395"/>
      <c r="BU22" s="935">
        <f>('II. Datos  Ganaderos'!AQ22*'II. Datos  Ganaderos'!AS22)-('II. Datos  Ganaderos'!AN22*'II. Datos  Ganaderos'!AP22)</f>
        <v>0</v>
      </c>
      <c r="BW22" s="1395" t="str">
        <f>+'II. Datos  Ganaderos'!Q19</f>
        <v>  Otro cultivo para silo</v>
      </c>
      <c r="BX22" s="934">
        <f>'II. Datos  Ganaderos'!R19*'II. Datos  Ganaderos'!S19/12</f>
        <v>0</v>
      </c>
      <c r="BY22" s="934">
        <f>'II. Datos  Ganaderos'!R77*'II. Datos  Ganaderos'!S77/12</f>
        <v>0</v>
      </c>
      <c r="CQ22" s="1395" t="str">
        <f>+'III. Datos Agrícolas'!V3</f>
        <v>XXX</v>
      </c>
      <c r="CR22" s="1395">
        <f>+'III. Datos Agrícolas'!V89</f>
        <v>0</v>
      </c>
      <c r="CS22" s="1395">
        <f>SUM('III. Datos Agrícolas'!X48:X52)</f>
        <v>0</v>
      </c>
      <c r="CT22" s="1395">
        <f>SUM('III. Datos Agrícolas'!X54:X61)</f>
        <v>0</v>
      </c>
      <c r="CU22" s="1395">
        <f>SUM('III. Datos Agrícolas'!X63:X65)</f>
        <v>0</v>
      </c>
      <c r="CV22" s="1395">
        <f>+'III. Datos Agrícolas'!W94</f>
        <v>0</v>
      </c>
      <c r="CW22" s="1395">
        <f>+'III. Datos Agrícolas'!W100</f>
        <v>0</v>
      </c>
      <c r="CX22" s="1395">
        <f>+'III. Datos Agrícolas'!W96+'III. Datos Agrícolas'!W98</f>
        <v>0</v>
      </c>
      <c r="CY22" s="1395">
        <f>+'III. Datos Agrícolas'!F108</f>
        <v>0</v>
      </c>
      <c r="DA22" s="1517" t="s">
        <v>935</v>
      </c>
      <c r="DC22" s="1510">
        <f>+'II. Datos  Ganaderos'!E5</f>
        <v>0</v>
      </c>
      <c r="DD22" s="1395" t="s">
        <v>487</v>
      </c>
      <c r="DE22" s="1509">
        <f>'II. Datos  Ganaderos'!E46</f>
        <v>0</v>
      </c>
      <c r="DF22" s="1509">
        <f>IF(DE22=0,0,('II. Datos  Ganaderos'!AF9-'II. Datos  Ganaderos'!AF25)/(DE22*30))</f>
        <v>0</v>
      </c>
      <c r="DI22" s="1508" t="s">
        <v>936</v>
      </c>
      <c r="DL22" s="1509">
        <f>+SUM('II. Datos  Ganaderos'!U29:'II. Datos  Ganaderos'!U32)+(('II. Datos  Ganaderos'!T21/3)*0.9*'II. Datos  Ganaderos'!R21)+(('II. Datos  Ganaderos'!T22/3)*0.9*'II. Datos  Ganaderos'!R22)</f>
        <v>0</v>
      </c>
    </row>
    <row r="23" spans="1:116" ht="16.5" customHeight="1" thickBot="1">
      <c r="A23" s="983" t="s">
        <v>937</v>
      </c>
      <c r="B23" s="1085" t="s">
        <v>938</v>
      </c>
      <c r="D23" s="983" t="s">
        <v>937</v>
      </c>
      <c r="E23" s="1085" t="s">
        <v>938</v>
      </c>
      <c r="H23" s="1235"/>
      <c r="M23" s="966"/>
      <c r="N23" s="1038"/>
      <c r="O23" s="1039"/>
      <c r="P23" s="608"/>
      <c r="Q23" s="607"/>
      <c r="R23" s="608"/>
      <c r="S23" s="675"/>
      <c r="T23" s="675"/>
      <c r="U23" s="607"/>
      <c r="V23" s="675"/>
      <c r="W23" s="675"/>
      <c r="X23" s="607"/>
      <c r="Z23" s="968" t="str">
        <f>+'II. Datos  Ganaderos'!Z89</f>
        <v>      Leche consumida en guachera</v>
      </c>
      <c r="AA23" s="969"/>
      <c r="AB23" s="1217">
        <f>+'II. Datos  Ganaderos'!AE89</f>
        <v>0</v>
      </c>
      <c r="AG23" s="926" t="str">
        <f>'Información General'!AJ22</f>
        <v>-------</v>
      </c>
      <c r="AH23" s="1205" t="str">
        <f>'Información General'!AK22</f>
        <v>($)</v>
      </c>
      <c r="AI23" s="1221">
        <f>'Información General'!AL22</f>
        <v>0</v>
      </c>
      <c r="AK23" s="926" t="s">
        <v>98</v>
      </c>
      <c r="AL23" s="608"/>
      <c r="AM23" s="608"/>
      <c r="AN23" s="1241"/>
      <c r="AO23" s="1244">
        <f>'VII. Impresión'!AC36</f>
        <v>0</v>
      </c>
      <c r="AR23" s="926" t="str">
        <f>+'V. Indicadores'!B27</f>
        <v>Superficie dedicada a VT</v>
      </c>
      <c r="AS23" s="612" t="str">
        <f>+'V. Indicadores'!C27</f>
        <v>Ha</v>
      </c>
      <c r="AT23" s="1216">
        <f>+'V. Indicadores'!D27</f>
        <v>0</v>
      </c>
      <c r="AX23" s="927"/>
      <c r="AY23" s="1009"/>
      <c r="AZ23" s="997"/>
      <c r="BC23" s="927" t="str">
        <f>+'V. Indicadores'!T61</f>
        <v>Productividad de la MO </v>
      </c>
      <c r="BD23" s="1009" t="str">
        <f>+'V. Indicadores'!U61</f>
        <v>cab/EH</v>
      </c>
      <c r="BE23" s="997">
        <f>+'V. Indicadores'!V61</f>
        <v>0</v>
      </c>
      <c r="BH23" s="926" t="str">
        <f>+'V. Indicadores'!Z25</f>
        <v>Indice general de Productividad</v>
      </c>
      <c r="BI23" s="612" t="str">
        <f>+'V. Indicadores'!AA25</f>
        <v>Vpb/G.directos</v>
      </c>
      <c r="BJ23" s="1025">
        <f>+'V. Indicadores'!AB25</f>
        <v>0</v>
      </c>
      <c r="BL23" s="1395"/>
      <c r="BM23" s="1395"/>
      <c r="BN23" s="1395"/>
      <c r="BO23" s="934" t="str">
        <f>'II. Datos  Ganaderos'!AL23</f>
        <v>................</v>
      </c>
      <c r="BP23" s="934">
        <f>'II. Datos  Ganaderos'!AN23*'II. Datos  Ganaderos'!AO23</f>
        <v>0</v>
      </c>
      <c r="BQ23" s="934">
        <f>'II. Datos  Ganaderos'!AQ23*'II. Datos  Ganaderos'!AR23</f>
        <v>0</v>
      </c>
      <c r="BR23" s="934">
        <f t="shared" si="5"/>
        <v>0</v>
      </c>
      <c r="BS23" s="1395"/>
      <c r="BT23" s="1395"/>
      <c r="BU23" s="935">
        <f>('II. Datos  Ganaderos'!AQ23*'II. Datos  Ganaderos'!AR23*'II. Datos  Ganaderos'!AS23)-('II. Datos  Ganaderos'!AN23*'II. Datos  Ganaderos'!AO23*'II. Datos  Ganaderos'!AP23)</f>
        <v>0</v>
      </c>
      <c r="BW23" s="1395" t="str">
        <f>+'II. Datos  Ganaderos'!Q20</f>
        <v>  Avena</v>
      </c>
      <c r="BX23" s="934">
        <f>'II. Datos  Ganaderos'!R20*'II. Datos  Ganaderos'!S20/12</f>
        <v>0</v>
      </c>
      <c r="BY23" s="934">
        <f>'II. Datos  Ganaderos'!R78*'II. Datos  Ganaderos'!S78/12</f>
        <v>0</v>
      </c>
      <c r="CQ23" s="1395" t="str">
        <f>+'III. Datos Agrícolas'!AC3</f>
        <v>XXX</v>
      </c>
      <c r="CR23" s="1395">
        <f>+'III. Datos Agrícolas'!$AC89</f>
        <v>0</v>
      </c>
      <c r="CS23" s="1395">
        <f>SUM('III. Datos Agrícolas'!AE48:AE52)</f>
        <v>0</v>
      </c>
      <c r="CT23" s="1395">
        <f>SUM('III. Datos Agrícolas'!AE54:AE61)</f>
        <v>0</v>
      </c>
      <c r="CU23" s="1395">
        <f>+SUM('III. Datos Agrícolas'!AE63:AE65)</f>
        <v>0</v>
      </c>
      <c r="CV23" s="1395">
        <f>+'III. Datos Agrícolas'!AD94</f>
        <v>0</v>
      </c>
      <c r="CW23" s="1528">
        <f>+'III. Datos Agrícolas'!AD100</f>
        <v>0</v>
      </c>
      <c r="CX23" s="1528">
        <f>+'III. Datos Agrícolas'!AD96+'III. Datos Agrícolas'!AD98</f>
        <v>0</v>
      </c>
      <c r="CY23" s="1395">
        <f>+'III. Datos Agrícolas'!G108</f>
        <v>0</v>
      </c>
      <c r="DA23" s="1517" t="s">
        <v>939</v>
      </c>
      <c r="DC23" s="1510">
        <f>+'II. Datos  Ganaderos'!E4</f>
        <v>0</v>
      </c>
      <c r="DD23" s="1395" t="s">
        <v>417</v>
      </c>
      <c r="DE23" s="1509">
        <f>'II. Datos  Ganaderos'!E47</f>
        <v>0</v>
      </c>
      <c r="DF23" s="1509">
        <f>IF(DE23=0,0,('II. Datos  Ganaderos'!AF10-'II. Datos  Ganaderos'!AF26)/(DE23*30))</f>
        <v>0</v>
      </c>
      <c r="DI23" s="1508" t="s">
        <v>940</v>
      </c>
      <c r="DL23" s="1395">
        <f>IF(DL8=0,0,+DL22/DL8)*1000</f>
        <v>0</v>
      </c>
    </row>
    <row r="24" spans="1:116" ht="16.5" customHeight="1" thickBot="1">
      <c r="A24" s="1072" t="str">
        <f>'II. Datos  Ganaderos'!Z8</f>
        <v>     Vaca descarte</v>
      </c>
      <c r="B24" s="1094">
        <f>'II. Datos  Ganaderos'!AA8</f>
        <v>0</v>
      </c>
      <c r="D24" s="1002" t="str">
        <f>'II. Datos  Ganaderos'!AD8</f>
        <v>Hacienda Propia</v>
      </c>
      <c r="E24" s="1095"/>
      <c r="M24" s="971" t="str">
        <f>'II. Datos  Ganaderos'!Q24</f>
        <v>DEMANDA                               (EV)</v>
      </c>
      <c r="N24" s="972"/>
      <c r="O24" s="972">
        <f>'II. Datos  Ganaderos'!S24</f>
        <v>0</v>
      </c>
      <c r="P24" s="972" t="str">
        <f>'II. Datos  Ganaderos'!T24</f>
        <v>Mcal</v>
      </c>
      <c r="Q24" s="1211">
        <f>'II. Datos  Ganaderos'!U24</f>
        <v>0</v>
      </c>
      <c r="R24" s="608"/>
      <c r="S24" s="675"/>
      <c r="T24" s="675"/>
      <c r="U24" s="607"/>
      <c r="V24" s="675"/>
      <c r="W24" s="608"/>
      <c r="X24" s="607"/>
      <c r="AG24" s="926" t="str">
        <f>'Información General'!AJ23</f>
        <v>-------</v>
      </c>
      <c r="AH24" s="1205" t="str">
        <f>'Información General'!AK23</f>
        <v>($)</v>
      </c>
      <c r="AI24" s="1221">
        <f>'Información General'!AL23</f>
        <v>0</v>
      </c>
      <c r="AK24" s="926" t="s">
        <v>106</v>
      </c>
      <c r="AL24" s="608"/>
      <c r="AM24" s="608"/>
      <c r="AN24" s="1241"/>
      <c r="AO24" s="1244">
        <f>'VII. Impresión'!V33</f>
        <v>0</v>
      </c>
      <c r="AR24" s="926" t="str">
        <f>+'V. Indicadores'!B28</f>
        <v>Superficie efectiva invernada</v>
      </c>
      <c r="AS24" s="612" t="str">
        <f>+'V. Indicadores'!C28</f>
        <v>Ha</v>
      </c>
      <c r="AT24" s="1216">
        <f>+'V. Indicadores'!D28</f>
        <v>0</v>
      </c>
      <c r="AX24" s="1022" t="s">
        <v>941</v>
      </c>
      <c r="AY24" s="961"/>
      <c r="AZ24" s="993">
        <f>+'V. Indicadores'!N65</f>
        <v>0</v>
      </c>
      <c r="BC24" s="1022" t="s">
        <v>942</v>
      </c>
      <c r="BD24" s="668"/>
      <c r="BE24" s="993"/>
      <c r="BH24" s="926" t="str">
        <f>+'V. Indicadores'!Z26</f>
        <v>Productividad de los cultivos</v>
      </c>
      <c r="BI24" s="612"/>
      <c r="BJ24" s="996"/>
      <c r="BL24" s="1395"/>
      <c r="BM24" s="1395"/>
      <c r="BN24" s="1395"/>
      <c r="BO24" s="934" t="str">
        <f>'II. Datos  Ganaderos'!AL26</f>
        <v>Novillos</v>
      </c>
      <c r="BP24" s="934">
        <f>'II. Datos  Ganaderos'!AN26*'II. Datos  Ganaderos'!AO26</f>
        <v>0</v>
      </c>
      <c r="BQ24" s="934">
        <f>'II. Datos  Ganaderos'!AQ26*'II. Datos  Ganaderos'!AR26</f>
        <v>0</v>
      </c>
      <c r="BR24" s="934">
        <f t="shared" si="5"/>
        <v>0</v>
      </c>
      <c r="BS24" s="1395"/>
      <c r="BT24" s="1396" t="s">
        <v>106</v>
      </c>
      <c r="BU24" s="1536">
        <f>SUM(BU17:BU23)</f>
        <v>0</v>
      </c>
      <c r="BW24" s="1395" t="str">
        <f>+'II. Datos  Ganaderos'!Q21</f>
        <v>  Maíz para grano húmedo</v>
      </c>
      <c r="BX24" s="934">
        <f>'II. Datos  Ganaderos'!R21*'II. Datos  Ganaderos'!S21/12</f>
        <v>0</v>
      </c>
      <c r="BY24" s="934">
        <f>'II. Datos  Ganaderos'!R79*'II. Datos  Ganaderos'!S79/12</f>
        <v>0</v>
      </c>
      <c r="CQ24" s="1395" t="str">
        <f>+'III. Datos Agrícolas'!AH3</f>
        <v>XXX</v>
      </c>
      <c r="CR24" s="1395">
        <f>+'III. Datos Agrícolas'!$AH89</f>
        <v>0</v>
      </c>
      <c r="CS24" s="1395">
        <f>SUM('III. Datos Agrícolas'!AJ48:AJ52)</f>
        <v>0</v>
      </c>
      <c r="CT24" s="1395">
        <f>SUM('III. Datos Agrícolas'!AJ54:AJ61)</f>
        <v>0</v>
      </c>
      <c r="CU24" s="1395">
        <f>+SUM('III. Datos Agrícolas'!AJ63:AJ65)</f>
        <v>0</v>
      </c>
      <c r="CV24" s="1395">
        <f>+'III. Datos Agrícolas'!AI94</f>
        <v>0</v>
      </c>
      <c r="CW24" s="1528">
        <f>+'III. Datos Agrícolas'!AI100</f>
        <v>0</v>
      </c>
      <c r="CX24" s="1528">
        <f>+'III. Datos Agrícolas'!AI96+'III. Datos Agrícolas'!AI98</f>
        <v>0</v>
      </c>
      <c r="CY24" s="1395">
        <f>+'III. Datos Agrícolas'!H108</f>
        <v>0</v>
      </c>
      <c r="DA24" s="1517" t="s">
        <v>434</v>
      </c>
      <c r="DC24" s="1510">
        <f>+'II. Datos  Ganaderos'!E25</f>
        <v>0</v>
      </c>
      <c r="DD24" s="1395" t="s">
        <v>422</v>
      </c>
      <c r="DE24" s="1509">
        <f>'II. Datos  Ganaderos'!E48</f>
        <v>0</v>
      </c>
      <c r="DF24" s="1509">
        <f>IF(DE24=0,0,('II. Datos  Ganaderos'!AF11-'II. Datos  Ganaderos'!AF27)/(DE24*30))</f>
        <v>0</v>
      </c>
      <c r="DI24" s="1511" t="s">
        <v>943</v>
      </c>
      <c r="DL24" s="1395">
        <f>IF(('II. Datos  Ganaderos'!AN35+'II. Datos  Ganaderos'!AN36)=0,0,DL22/('II. Datos  Ganaderos'!AN35+'II. Datos  Ganaderos'!AN36))</f>
        <v>0</v>
      </c>
    </row>
    <row r="25" spans="1:116" ht="16.5" customHeight="1" thickBot="1">
      <c r="A25" s="1002" t="str">
        <f>'II. Datos  Ganaderos'!Z9</f>
        <v>     Vaca en producción</v>
      </c>
      <c r="B25" s="1095">
        <f>'II. Datos  Ganaderos'!AA9</f>
        <v>0</v>
      </c>
      <c r="D25" s="1002" t="str">
        <f>'II. Datos  Ganaderos'!AD9</f>
        <v>Novillos</v>
      </c>
      <c r="E25" s="1095">
        <f>'II. Datos  Ganaderos'!AE9</f>
        <v>0</v>
      </c>
      <c r="M25" s="966" t="str">
        <f>'II. Datos  Ganaderos'!Q25</f>
        <v>OFERTA forrajes groseros     (EV)</v>
      </c>
      <c r="N25" s="675"/>
      <c r="O25" s="675">
        <f>'II. Datos  Ganaderos'!S25</f>
        <v>0</v>
      </c>
      <c r="P25" s="675" t="str">
        <f>'II. Datos  Ganaderos'!T25</f>
        <v>Mcal</v>
      </c>
      <c r="Q25" s="1212">
        <f>'II. Datos  Ganaderos'!U25</f>
        <v>0</v>
      </c>
      <c r="S25" s="979" t="s">
        <v>944</v>
      </c>
      <c r="T25" s="668"/>
      <c r="U25" s="980" t="s">
        <v>419</v>
      </c>
      <c r="V25" s="981" t="s">
        <v>718</v>
      </c>
      <c r="Z25" s="604"/>
      <c r="AG25" s="926" t="str">
        <f>'Información General'!AJ24</f>
        <v>-------</v>
      </c>
      <c r="AH25" s="1205" t="str">
        <f>'Información General'!AK24</f>
        <v>($)</v>
      </c>
      <c r="AI25" s="1221">
        <f>'Información General'!AL24</f>
        <v>0</v>
      </c>
      <c r="AK25" s="926" t="s">
        <v>108</v>
      </c>
      <c r="AL25" s="608"/>
      <c r="AM25" s="608"/>
      <c r="AN25" s="1241"/>
      <c r="AO25" s="1244">
        <f>'VII. Impresión'!CV46</f>
        <v>0</v>
      </c>
      <c r="AR25" s="926" t="str">
        <f>+'V. Indicadores'!B29</f>
        <v>Superficie efectiva agrícola</v>
      </c>
      <c r="AS25" s="612" t="str">
        <f>+'V. Indicadores'!C29</f>
        <v>Ha</v>
      </c>
      <c r="AT25" s="1216">
        <f>+'V. Indicadores'!D29</f>
        <v>0</v>
      </c>
      <c r="AX25" s="923" t="str">
        <f>+'V. Indicadores'!L66</f>
        <v>Rentabilidad con tierra</v>
      </c>
      <c r="AY25" s="1007" t="str">
        <f>+'V. Indicadores'!M66</f>
        <v>Benef./Capital Agrario</v>
      </c>
      <c r="AZ25" s="1023">
        <f>+'V. Indicadores'!N66</f>
        <v>0</v>
      </c>
      <c r="BC25" s="923" t="str">
        <f>+'V. Indicadores'!T63</f>
        <v>UTA/ha</v>
      </c>
      <c r="BD25" s="1007" t="str">
        <f>+'V. Indicadores'!U63</f>
        <v>UTA/ha</v>
      </c>
      <c r="BE25" s="1113">
        <f>+'V. Indicadores'!V63</f>
        <v>0</v>
      </c>
      <c r="BH25" s="926" t="str">
        <f>+'V. Indicadores'!Z27</f>
        <v>Vbp Cultivo  1/Sup 1</v>
      </c>
      <c r="BI25" s="612" t="str">
        <f>+'V. Indicadores'!AA27</f>
        <v>Vbp Cult.1/ha</v>
      </c>
      <c r="BJ25" s="1216">
        <f>+'V. Indicadores'!AB27</f>
        <v>0</v>
      </c>
      <c r="BL25" s="1395"/>
      <c r="BM25" s="1395"/>
      <c r="BN25" s="1395"/>
      <c r="BO25" s="934" t="str">
        <f>'II. Datos  Ganaderos'!AL27</f>
        <v>Vaquillonas</v>
      </c>
      <c r="BP25" s="934">
        <f>'II. Datos  Ganaderos'!AN27*'II. Datos  Ganaderos'!AO27</f>
        <v>0</v>
      </c>
      <c r="BQ25" s="934">
        <f>'II. Datos  Ganaderos'!AQ27*'II. Datos  Ganaderos'!AR27</f>
        <v>0</v>
      </c>
      <c r="BR25" s="934">
        <f t="shared" si="5"/>
        <v>0</v>
      </c>
      <c r="BS25" s="1395"/>
      <c r="BT25" s="1395"/>
      <c r="BU25" s="1395"/>
      <c r="BW25" s="1395" t="str">
        <f>+'II. Datos  Ganaderos'!Q22</f>
        <v>  Sorgo para grano húmedo</v>
      </c>
      <c r="BX25" s="934">
        <f>'II. Datos  Ganaderos'!R22*'II. Datos  Ganaderos'!S22/12</f>
        <v>0</v>
      </c>
      <c r="BY25" s="934">
        <f>'II. Datos  Ganaderos'!R80*'II. Datos  Ganaderos'!S80/12</f>
        <v>0</v>
      </c>
      <c r="CQ25" s="1395" t="str">
        <f>+'III. Datos Agrícolas'!AM3</f>
        <v>XXX</v>
      </c>
      <c r="CR25" s="1395">
        <f>+'III. Datos Agrícolas'!$AM89</f>
        <v>0</v>
      </c>
      <c r="CS25" s="1395">
        <f>SUM('III. Datos Agrícolas'!AO48:AO52)</f>
        <v>0</v>
      </c>
      <c r="CT25" s="1395">
        <f>SUM('III. Datos Agrícolas'!AO54:AO61)</f>
        <v>0</v>
      </c>
      <c r="CU25" s="1395">
        <f>+SUM('III. Datos Agrícolas'!AO63:AO65)</f>
        <v>0</v>
      </c>
      <c r="CV25" s="1395">
        <f>+'III. Datos Agrícolas'!AN94</f>
        <v>0</v>
      </c>
      <c r="CW25" s="1528">
        <f>+'III. Datos Agrícolas'!AN100</f>
        <v>0</v>
      </c>
      <c r="CX25" s="1528">
        <f>+'III. Datos Agrícolas'!AN96+'III. Datos Agrícolas'!AN98</f>
        <v>0</v>
      </c>
      <c r="CY25" s="1395">
        <f>+'III. Datos Agrícolas'!I108</f>
        <v>0</v>
      </c>
      <c r="DA25" s="1530" t="s">
        <v>438</v>
      </c>
      <c r="DC25" s="1510"/>
      <c r="DE25" s="1509"/>
      <c r="DF25" s="1509"/>
      <c r="DI25" s="1517" t="s">
        <v>945</v>
      </c>
      <c r="DL25" s="1395">
        <f>IF('II. Datos  Ganaderos'!AN35=0,0,IF(DK36=0,0,((DL8-'II. Datos  Ganaderos'!AE80/'VII. Impresión'!DK36)))/365/'II. Datos  Ganaderos'!AN35)</f>
        <v>0</v>
      </c>
    </row>
    <row r="26" spans="1:116" ht="16.5" customHeight="1" thickBot="1">
      <c r="A26" s="1002" t="str">
        <f>'II. Datos  Ganaderos'!Z10</f>
        <v>     Vaq.Preñadas</v>
      </c>
      <c r="B26" s="1095">
        <f>'II. Datos  Ganaderos'!AA10</f>
        <v>0</v>
      </c>
      <c r="D26" s="1002" t="str">
        <f>'II. Datos  Ganaderos'!AD10</f>
        <v>Vaquillonas</v>
      </c>
      <c r="E26" s="1095">
        <f>'II. Datos  Ganaderos'!AE10</f>
        <v>0</v>
      </c>
      <c r="M26" s="966" t="str">
        <f>'II. Datos  Ganaderos'!Q26</f>
        <v>BALANCE      preliminar          (EV)</v>
      </c>
      <c r="N26" s="675"/>
      <c r="O26" s="675">
        <f>'II. Datos  Ganaderos'!S26</f>
        <v>0</v>
      </c>
      <c r="P26" s="675" t="str">
        <f>'II. Datos  Ganaderos'!T26</f>
        <v>Mcal</v>
      </c>
      <c r="Q26" s="1212">
        <f>'II. Datos  Ganaderos'!U26</f>
        <v>0</v>
      </c>
      <c r="S26" s="971" t="str">
        <f>+Z27</f>
        <v> Forrajes</v>
      </c>
      <c r="T26" s="924"/>
      <c r="U26" s="976">
        <f aca="true" t="shared" si="6" ref="U26:U32">IF(V$33=0,0,V26/V$33)</f>
        <v>0</v>
      </c>
      <c r="V26" s="1219">
        <f>IF('II. Datos  Ganaderos'!$AO$53+'II. Datos  Ganaderos'!AO58=0,0,(U4+U5+U9+U12+U13+U14))</f>
        <v>0</v>
      </c>
      <c r="Y26" s="608"/>
      <c r="Z26" s="979" t="s">
        <v>946</v>
      </c>
      <c r="AA26" s="982"/>
      <c r="AB26" s="980" t="s">
        <v>419</v>
      </c>
      <c r="AC26" s="981" t="s">
        <v>718</v>
      </c>
      <c r="AD26" s="914"/>
      <c r="AG26" s="926" t="str">
        <f>'Información General'!AJ25</f>
        <v>-------</v>
      </c>
      <c r="AH26" s="1205" t="str">
        <f>'Información General'!AK25</f>
        <v>($)</v>
      </c>
      <c r="AI26" s="1221">
        <f>'Información General'!AL25</f>
        <v>0</v>
      </c>
      <c r="AK26" s="926"/>
      <c r="AL26" s="608" t="str">
        <f aca="true" t="shared" si="7" ref="AL26:AL34">+CS35</f>
        <v>XXX</v>
      </c>
      <c r="AM26" s="608"/>
      <c r="AN26" s="1241">
        <f aca="true" t="shared" si="8" ref="AN26:AN34">+CV35</f>
        <v>0</v>
      </c>
      <c r="AO26" s="1242"/>
      <c r="AR26" s="926" t="str">
        <f>+'V. Indicadores'!B30</f>
        <v>Dotación de Hacienda</v>
      </c>
      <c r="AS26" s="612" t="str">
        <f>+'V. Indicadores'!C30</f>
        <v>EV</v>
      </c>
      <c r="AT26" s="1216">
        <f>+'V. Indicadores'!D30</f>
        <v>0</v>
      </c>
      <c r="AX26" s="926" t="str">
        <f>+'V. Indicadores'!L67</f>
        <v>Rentabilidad sin tierra</v>
      </c>
      <c r="AY26" s="612" t="str">
        <f>+'V. Indicadores'!M67</f>
        <v>Benef./Capital Agr. s/tierra</v>
      </c>
      <c r="AZ26" s="1024">
        <f>+'V. Indicadores'!N67</f>
        <v>0</v>
      </c>
      <c r="BC26" s="926" t="str">
        <f>+'V. Indicadores'!T64</f>
        <v>Kg. fertilizante/ha</v>
      </c>
      <c r="BD26" s="612" t="str">
        <f>+'V. Indicadores'!U64</f>
        <v>Kg./ha</v>
      </c>
      <c r="BE26" s="967">
        <f>+'V. Indicadores'!V64</f>
        <v>0</v>
      </c>
      <c r="BH26" s="926" t="str">
        <f>+'V. Indicadores'!Z28</f>
        <v>Vbp Cultivo  2/Sup 2</v>
      </c>
      <c r="BI26" s="612" t="str">
        <f>+'V. Indicadores'!AA28</f>
        <v>Vbp Cult.2/ha</v>
      </c>
      <c r="BJ26" s="1216">
        <f>+'V. Indicadores'!AB28</f>
        <v>0</v>
      </c>
      <c r="BL26" s="1395"/>
      <c r="BM26" s="1395"/>
      <c r="BN26" s="1395"/>
      <c r="BO26" s="934" t="str">
        <f>'II. Datos  Ganaderos'!AL28</f>
        <v>Vacas</v>
      </c>
      <c r="BP26" s="934">
        <f>'II. Datos  Ganaderos'!AN28*'II. Datos  Ganaderos'!AO28</f>
        <v>0</v>
      </c>
      <c r="BQ26" s="934">
        <f>'II. Datos  Ganaderos'!AQ28*'II. Datos  Ganaderos'!AR28</f>
        <v>0</v>
      </c>
      <c r="BR26" s="934">
        <f t="shared" si="5"/>
        <v>0</v>
      </c>
      <c r="BS26" s="1395"/>
      <c r="BT26" s="1395"/>
      <c r="BU26" s="1395"/>
      <c r="BW26" s="1396" t="str">
        <f>+'II. Datos  Ganaderos'!Q23</f>
        <v>TOTAL OFERTA</v>
      </c>
      <c r="BX26" s="1398">
        <f>SUM(BX7:BX25)</f>
        <v>0</v>
      </c>
      <c r="BY26" s="1398">
        <f>SUM(BY7:BY25)</f>
        <v>0</v>
      </c>
      <c r="BZ26" s="1396"/>
      <c r="CQ26" s="1395" t="str">
        <f>+'III. Datos Agrícolas'!AR3</f>
        <v>XXX</v>
      </c>
      <c r="CR26" s="1395">
        <f>+'III. Datos Agrícolas'!$AR89</f>
        <v>0</v>
      </c>
      <c r="CS26" s="1395">
        <f>SUM('III. Datos Agrícolas'!AT48:AT52)</f>
        <v>0</v>
      </c>
      <c r="CT26" s="1395">
        <f>SUM('III. Datos Agrícolas'!AT54:AT61)</f>
        <v>0</v>
      </c>
      <c r="CU26" s="1395">
        <f>+SUM('III. Datos Agrícolas'!AT63:AT65)</f>
        <v>0</v>
      </c>
      <c r="CV26" s="1395">
        <f>+'III. Datos Agrícolas'!AS94</f>
        <v>0</v>
      </c>
      <c r="CW26" s="1395">
        <f>+'III. Datos Agrícolas'!AS100</f>
        <v>0</v>
      </c>
      <c r="CX26" s="1395">
        <f>+'III. Datos Agrícolas'!AS96+'III. Datos Agrícolas'!AS98</f>
        <v>0</v>
      </c>
      <c r="CY26" s="1395">
        <f>+'III. Datos Agrícolas'!J108</f>
        <v>0</v>
      </c>
      <c r="DA26" s="1504" t="s">
        <v>439</v>
      </c>
      <c r="DB26" s="1504" t="s">
        <v>440</v>
      </c>
      <c r="DC26" s="1510">
        <f>+'II. Datos  Ganaderos'!E26</f>
        <v>0</v>
      </c>
      <c r="DD26" s="1520" t="s">
        <v>947</v>
      </c>
      <c r="DE26" s="1527" t="s">
        <v>931</v>
      </c>
      <c r="DF26" s="1507" t="s">
        <v>932</v>
      </c>
      <c r="DI26" s="1517" t="s">
        <v>948</v>
      </c>
      <c r="DL26" s="1509">
        <f>+'II. Datos  Ganaderos'!AD107+'II. Datos  Ganaderos'!AD109+'II. Datos  Ganaderos'!AD110</f>
        <v>0</v>
      </c>
    </row>
    <row r="27" spans="1:116" ht="16.5" customHeight="1" thickBot="1">
      <c r="A27" s="1002" t="str">
        <f>'II. Datos  Ganaderos'!Z11</f>
        <v>     Vaquillas</v>
      </c>
      <c r="B27" s="1095">
        <f>'II. Datos  Ganaderos'!AA11</f>
        <v>0</v>
      </c>
      <c r="D27" s="1002" t="str">
        <f>'II. Datos  Ganaderos'!AD11</f>
        <v>Vacas</v>
      </c>
      <c r="E27" s="1095">
        <f>'II. Datos  Ganaderos'!AE11</f>
        <v>0</v>
      </c>
      <c r="M27" s="1052" t="str">
        <f>'II. Datos  Ganaderos'!Q27</f>
        <v>CARGA (EV/HA GANADERA DE TAMBO)</v>
      </c>
      <c r="N27" s="1053"/>
      <c r="O27" s="1053"/>
      <c r="P27" s="1053"/>
      <c r="Q27" s="1054">
        <f>'II. Datos  Ganaderos'!U27</f>
        <v>0</v>
      </c>
      <c r="S27" s="966" t="str">
        <f>+Z28</f>
        <v> Grano Humedo</v>
      </c>
      <c r="T27" s="608"/>
      <c r="U27" s="623">
        <f t="shared" si="6"/>
        <v>0</v>
      </c>
      <c r="V27" s="1216">
        <f>IF('II. Datos  Ganaderos'!$AO$53+'II. Datos  Ganaderos'!AO58=0,0,(U10+U11))</f>
        <v>0</v>
      </c>
      <c r="Z27" s="966" t="s">
        <v>949</v>
      </c>
      <c r="AA27" s="608"/>
      <c r="AB27" s="623">
        <f aca="true" t="shared" si="9" ref="AB27:AB35">IF(AC$36=0,0,AC27/AC$36)</f>
        <v>0</v>
      </c>
      <c r="AC27" s="1220">
        <f>IF('II. Datos  Ganaderos'!$AO$44=0,0,(AB4+AB5+AB9+AB12+AB13+AB14))</f>
        <v>0</v>
      </c>
      <c r="AD27" s="915">
        <f>+IF('V. Indicadores'!$N$3=0,0,(AC27/'V. Indicadores'!$N$3))</f>
        <v>0</v>
      </c>
      <c r="AE27" s="605"/>
      <c r="AG27" s="994" t="str">
        <f>'Información General'!AJ26</f>
        <v>Total Gastos Estructura</v>
      </c>
      <c r="AH27" s="1207" t="str">
        <f>'Información General'!AK26</f>
        <v>($)</v>
      </c>
      <c r="AI27" s="1222">
        <f>SUM(AI3:AI26)</f>
        <v>0</v>
      </c>
      <c r="AK27" s="926"/>
      <c r="AL27" s="608" t="str">
        <f t="shared" si="7"/>
        <v>XXX</v>
      </c>
      <c r="AM27" s="608"/>
      <c r="AN27" s="1241">
        <f t="shared" si="8"/>
        <v>0</v>
      </c>
      <c r="AO27" s="1242"/>
      <c r="AR27" s="926" t="str">
        <f>+'V. Indicadores'!B31</f>
        <v>Dotación de Hacienda</v>
      </c>
      <c r="AS27" s="612" t="str">
        <f>+'V. Indicadores'!C31</f>
        <v>$</v>
      </c>
      <c r="AT27" s="1216">
        <f>+'V. Indicadores'!D31</f>
        <v>0</v>
      </c>
      <c r="AX27" s="926" t="str">
        <f>+'V. Indicadores'!L68</f>
        <v>Rentabilidad Neta del Trabajo</v>
      </c>
      <c r="AY27" s="612" t="str">
        <f>+'V. Indicadores'!M68</f>
        <v>Benef./EH</v>
      </c>
      <c r="AZ27" s="967">
        <f>+'V. Indicadores'!N68</f>
        <v>0</v>
      </c>
      <c r="BC27" s="1016" t="str">
        <f>+'V. Indicadores'!T65</f>
        <v>Nro. Aplicaciones Agroquímicos</v>
      </c>
      <c r="BD27" s="620" t="str">
        <f>+'V. Indicadores'!U65</f>
        <v>veces</v>
      </c>
      <c r="BE27" s="1017">
        <f>+'V. Indicadores'!V65</f>
        <v>0</v>
      </c>
      <c r="BH27" s="926" t="str">
        <f>+'V. Indicadores'!Z29</f>
        <v>Vbp Cultivo  3/Sup 3</v>
      </c>
      <c r="BI27" s="612" t="str">
        <f>+'V. Indicadores'!AA29</f>
        <v>Vbp Cult.3/ha</v>
      </c>
      <c r="BJ27" s="1216">
        <f>+'V. Indicadores'!AB29</f>
        <v>0</v>
      </c>
      <c r="BL27" s="1395"/>
      <c r="BM27" s="1395"/>
      <c r="BN27" s="1395"/>
      <c r="BO27" s="1399" t="str">
        <f>'II. Datos  Ganaderos'!AL29</f>
        <v>TOTAL</v>
      </c>
      <c r="BP27" s="1399">
        <f>SUM(BP17:BP26)</f>
        <v>0</v>
      </c>
      <c r="BQ27" s="1399">
        <f>SUM(BQ17:BQ26)</f>
        <v>0</v>
      </c>
      <c r="BR27" s="1399">
        <f>SUM(BR17:BR26)</f>
        <v>0</v>
      </c>
      <c r="BS27" s="1395"/>
      <c r="BT27" s="1395"/>
      <c r="BU27" s="1395"/>
      <c r="BY27" s="934"/>
      <c r="CQ27" s="1396"/>
      <c r="CR27" s="1396"/>
      <c r="CS27" s="1396">
        <f>SUMPRODUCT(CS18:CS26,CZ4:CZ12)</f>
        <v>0</v>
      </c>
      <c r="CT27" s="1396">
        <f>SUMPRODUCT(CT18:CT26,CZ4:CZ12)</f>
        <v>0</v>
      </c>
      <c r="CU27" s="1396">
        <f>SUMPRODUCT(CU18:CU26,CZ4:CZ12)</f>
        <v>0</v>
      </c>
      <c r="CV27" s="1396"/>
      <c r="CW27" s="1396"/>
      <c r="CX27" s="1396">
        <f>SUM(CX18:CX26)</f>
        <v>0</v>
      </c>
      <c r="CY27" s="1396">
        <f>SUMPRODUCT(CY18:CY26,CZ4:CZ12)</f>
        <v>0</v>
      </c>
      <c r="DA27" s="1530" t="s">
        <v>443</v>
      </c>
      <c r="DB27" s="1504" t="s">
        <v>440</v>
      </c>
      <c r="DC27" s="1510">
        <f>+'II. Datos  Ganaderos'!E27</f>
        <v>0</v>
      </c>
      <c r="DD27" s="1395" t="str">
        <f>'II. Datos  Ganaderos'!B51</f>
        <v>Novillos</v>
      </c>
      <c r="DE27" s="1509">
        <f>'II. Datos  Ganaderos'!E51</f>
        <v>0</v>
      </c>
      <c r="DF27" s="1509">
        <f>IF(DE27=0,0,('II. Datos  Ganaderos'!AF14-'II. Datos  Ganaderos'!AF30)/(DE27*30))</f>
        <v>0</v>
      </c>
      <c r="DI27" s="1508" t="s">
        <v>950</v>
      </c>
      <c r="DL27" s="1395">
        <f>IF(DL26=0,0,DL8/DL26/365)</f>
        <v>0</v>
      </c>
    </row>
    <row r="28" spans="1:118" ht="16.5" customHeight="1">
      <c r="A28" s="1002" t="str">
        <f>'II. Datos  Ganaderos'!Z12</f>
        <v>     .........</v>
      </c>
      <c r="B28" s="1095">
        <f>'II. Datos  Ganaderos'!AA12</f>
        <v>0</v>
      </c>
      <c r="D28" s="1002"/>
      <c r="E28" s="1095">
        <f>'II. Datos  Ganaderos'!AE12</f>
        <v>0</v>
      </c>
      <c r="M28" s="971" t="str">
        <f>'II. Datos  Ganaderos'!Q28</f>
        <v>CONCENTRADO DE AJUSTE</v>
      </c>
      <c r="N28" s="972"/>
      <c r="O28" s="1043" t="str">
        <f>'II. Datos  Ganaderos'!S28</f>
        <v>kg/día</v>
      </c>
      <c r="P28" s="1043" t="str">
        <f>'II. Datos  Ganaderos'!T28</f>
        <v>días/año</v>
      </c>
      <c r="Q28" s="1044" t="str">
        <f>'II. Datos  Ganaderos'!U28</f>
        <v>kg/año</v>
      </c>
      <c r="S28" s="966" t="str">
        <f>+Z29</f>
        <v> Reservas</v>
      </c>
      <c r="T28" s="608"/>
      <c r="U28" s="623">
        <f t="shared" si="6"/>
        <v>0</v>
      </c>
      <c r="V28" s="1216">
        <f>IF('II. Datos  Ganaderos'!$AO$53+'II. Datos  Ganaderos'!AO58=0,0,(U6+U7+U8+U16+U17+U18+U19+U20+U21))</f>
        <v>0</v>
      </c>
      <c r="Z28" s="966" t="s">
        <v>951</v>
      </c>
      <c r="AA28" s="608"/>
      <c r="AB28" s="623">
        <f t="shared" si="9"/>
        <v>0</v>
      </c>
      <c r="AC28" s="1216">
        <f>IF('II. Datos  Ganaderos'!$AO$44=0,0,(AB10+AB11))</f>
        <v>0</v>
      </c>
      <c r="AD28" s="915">
        <f>+IF('V. Indicadores'!$N$3=0,0,(AC28/'V. Indicadores'!$N$3))</f>
        <v>0</v>
      </c>
      <c r="AE28" s="605"/>
      <c r="AK28" s="926"/>
      <c r="AL28" s="608" t="str">
        <f t="shared" si="7"/>
        <v>XXX</v>
      </c>
      <c r="AM28" s="608"/>
      <c r="AN28" s="1241">
        <f t="shared" si="8"/>
        <v>0</v>
      </c>
      <c r="AO28" s="1242"/>
      <c r="AR28" s="926" t="str">
        <f>+'V. Indicadores'!B32</f>
        <v>Dotación de Hacienda</v>
      </c>
      <c r="AS28" s="612" t="str">
        <f>+'V. Indicadores'!C32</f>
        <v>cab</v>
      </c>
      <c r="AT28" s="1216">
        <f>+'V. Indicadores'!D32</f>
        <v>0</v>
      </c>
      <c r="AX28" s="926" t="str">
        <f>+'V. Indicadores'!L69</f>
        <v>Rentab. Neta del Capital Fundiario</v>
      </c>
      <c r="AY28" s="612" t="str">
        <f>+'V. Indicadores'!M69</f>
        <v>Benef./Capital fundiario</v>
      </c>
      <c r="AZ28" s="1020">
        <f>+'V. Indicadores'!N69</f>
        <v>0</v>
      </c>
      <c r="BC28" s="1494" t="s">
        <v>952</v>
      </c>
      <c r="BD28" s="609"/>
      <c r="BE28" s="1019"/>
      <c r="BH28" s="926" t="str">
        <f>+'V. Indicadores'!Z30</f>
        <v>Vbp Cultivo  4/Sup 4</v>
      </c>
      <c r="BI28" s="612" t="str">
        <f>+'V. Indicadores'!AA30</f>
        <v>Vbp Cult.4/ha</v>
      </c>
      <c r="BJ28" s="1216">
        <f>+'V. Indicadores'!AB30</f>
        <v>0</v>
      </c>
      <c r="BL28" s="1395"/>
      <c r="BM28" s="1395"/>
      <c r="BN28" s="1395"/>
      <c r="BO28" s="1399"/>
      <c r="BP28" s="1399" t="s">
        <v>953</v>
      </c>
      <c r="BQ28" s="1399"/>
      <c r="BR28" s="1399">
        <f>(BQ27+BP27)/2</f>
        <v>0</v>
      </c>
      <c r="BS28" s="1395"/>
      <c r="BT28" s="1395"/>
      <c r="BU28" s="1395"/>
      <c r="BY28" s="934"/>
      <c r="DA28" s="1517" t="s">
        <v>954</v>
      </c>
      <c r="DC28" s="1510"/>
      <c r="DD28" s="1395" t="str">
        <f>'II. Datos  Ganaderos'!B52</f>
        <v>Vaquillonas</v>
      </c>
      <c r="DE28" s="1509">
        <f>'II. Datos  Ganaderos'!E52</f>
        <v>0</v>
      </c>
      <c r="DF28" s="1509">
        <f>IF(DE28=0,0,('II. Datos  Ganaderos'!AF15-'II. Datos  Ganaderos'!AF31)/(DE28*30))</f>
        <v>0</v>
      </c>
      <c r="DI28" s="1517" t="s">
        <v>955</v>
      </c>
      <c r="DL28" s="1509">
        <f>IF(DL26=0,0,'II. Datos  Ganaderos'!AN35/DL26)</f>
        <v>0</v>
      </c>
      <c r="DM28" s="1509"/>
      <c r="DN28" s="1509"/>
    </row>
    <row r="29" spans="1:116" ht="16.5" customHeight="1" thickBot="1">
      <c r="A29" s="1002" t="str">
        <f>'II. Datos  Ganaderos'!Z13</f>
        <v>     .........</v>
      </c>
      <c r="B29" s="1095">
        <f>'II. Datos  Ganaderos'!AA13</f>
        <v>0</v>
      </c>
      <c r="D29" s="1002" t="str">
        <f>'II. Datos  Ganaderos'!AD13</f>
        <v>Hacienda Capitalización</v>
      </c>
      <c r="E29" s="1095"/>
      <c r="M29" s="966" t="str">
        <f>'II. Datos  Ganaderos'!Q29</f>
        <v>     Vaca ordeño</v>
      </c>
      <c r="N29" s="675" t="str">
        <f>'II. Datos  Ganaderos'!R29</f>
        <v>Balanceado</v>
      </c>
      <c r="O29" s="681">
        <f>'II. Datos  Ganaderos'!S29</f>
        <v>0</v>
      </c>
      <c r="P29" s="678">
        <f>'II. Datos  Ganaderos'!T29</f>
        <v>0</v>
      </c>
      <c r="Q29" s="1213">
        <f>'II. Datos  Ganaderos'!U29</f>
        <v>0</v>
      </c>
      <c r="S29" s="966" t="str">
        <f>+Z30</f>
        <v> Concentrados</v>
      </c>
      <c r="T29" s="608"/>
      <c r="U29" s="623">
        <f t="shared" si="6"/>
        <v>0</v>
      </c>
      <c r="V29" s="1220">
        <f>+U22</f>
        <v>0</v>
      </c>
      <c r="Z29" s="977" t="s">
        <v>956</v>
      </c>
      <c r="AA29" s="608"/>
      <c r="AB29" s="623">
        <f t="shared" si="9"/>
        <v>0</v>
      </c>
      <c r="AC29" s="1216">
        <f>IF('II. Datos  Ganaderos'!$AO$44=0,0,(AB6+AB7+AB8+AB16+AB17+AB18+AB19+AB20+AB21))</f>
        <v>0</v>
      </c>
      <c r="AD29" s="915">
        <f>+IF('V. Indicadores'!$N$3=0,0,(AC29/'V. Indicadores'!$N$3))</f>
        <v>0</v>
      </c>
      <c r="AE29" s="605"/>
      <c r="AK29" s="926"/>
      <c r="AL29" s="608" t="str">
        <f t="shared" si="7"/>
        <v>XXX</v>
      </c>
      <c r="AM29" s="608"/>
      <c r="AN29" s="1241">
        <f t="shared" si="8"/>
        <v>0</v>
      </c>
      <c r="AO29" s="1242"/>
      <c r="AR29" s="926" t="str">
        <f>+'V. Indicadores'!B33</f>
        <v>Dotación de Tambo</v>
      </c>
      <c r="AS29" s="612" t="str">
        <f>+'V. Indicadores'!C33</f>
        <v>VT</v>
      </c>
      <c r="AT29" s="1216">
        <f>+'V. Indicadores'!D33</f>
        <v>0</v>
      </c>
      <c r="AX29" s="927"/>
      <c r="AY29" s="1009"/>
      <c r="AZ29" s="997"/>
      <c r="BC29" s="1112" t="s">
        <v>957</v>
      </c>
      <c r="BE29" s="996"/>
      <c r="BH29" s="926" t="str">
        <f>+'V. Indicadores'!Z31</f>
        <v>Vbp Cultivo  5/Sup 5</v>
      </c>
      <c r="BI29" s="612" t="str">
        <f>+'V. Indicadores'!AA31</f>
        <v>Vbp Cult.5/ha</v>
      </c>
      <c r="BJ29" s="1216">
        <f>+'V. Indicadores'!AB31</f>
        <v>0</v>
      </c>
      <c r="BL29" s="1395"/>
      <c r="BM29" s="1395"/>
      <c r="BN29" s="1395"/>
      <c r="BO29" s="1395"/>
      <c r="BP29" s="1395"/>
      <c r="BQ29" s="1395"/>
      <c r="BR29" s="1395"/>
      <c r="BS29" s="1395"/>
      <c r="BT29" s="1395"/>
      <c r="BU29" s="1395"/>
      <c r="BY29" s="934"/>
      <c r="DA29" s="1517" t="s">
        <v>958</v>
      </c>
      <c r="DB29" s="1504" t="str">
        <f>IF('II. Datos  Ganaderos'!E12=0,'II. Datos  Ganaderos'!C13,'II. Datos  Ganaderos'!C12)</f>
        <v>artificial</v>
      </c>
      <c r="DC29" s="1510">
        <f>IF('II. Datos  Ganaderos'!E13=1,'II. Datos  Ganaderos'!D13,IF('II. Datos  Ganaderos'!E14=1,'II. Datos  Ganaderos'!D14,0))</f>
        <v>0</v>
      </c>
      <c r="DD29" s="1395" t="str">
        <f>'II. Datos  Ganaderos'!B53</f>
        <v>Vacas</v>
      </c>
      <c r="DE29" s="1509">
        <f>'II. Datos  Ganaderos'!E53</f>
        <v>0</v>
      </c>
      <c r="DF29" s="1509">
        <f>IF(DE29=0,0,('II. Datos  Ganaderos'!AF16-'II. Datos  Ganaderos'!AF32)/(DE29*30))</f>
        <v>0</v>
      </c>
      <c r="DI29" s="1508" t="s">
        <v>959</v>
      </c>
      <c r="DL29" s="1509">
        <f>IF(DL26=0,0,DL9/DL26)</f>
        <v>0</v>
      </c>
    </row>
    <row r="30" spans="1:118" ht="16.5" customHeight="1">
      <c r="A30" s="1002" t="str">
        <f>'II. Datos  Ganaderos'!Z14</f>
        <v>     Toros</v>
      </c>
      <c r="B30" s="1095">
        <f>'II. Datos  Ganaderos'!AA14</f>
        <v>0</v>
      </c>
      <c r="D30" s="1002" t="str">
        <f>'II. Datos  Ganaderos'!AD14</f>
        <v>Novillos</v>
      </c>
      <c r="E30" s="1095">
        <f>'II. Datos  Ganaderos'!AE14</f>
        <v>0</v>
      </c>
      <c r="M30" s="966"/>
      <c r="N30" s="675" t="str">
        <f>'II. Datos  Ganaderos'!R30</f>
        <v>Sorgo</v>
      </c>
      <c r="O30" s="681">
        <f>'II. Datos  Ganaderos'!S30</f>
        <v>0</v>
      </c>
      <c r="P30" s="678">
        <f>'II. Datos  Ganaderos'!T30</f>
        <v>0</v>
      </c>
      <c r="Q30" s="1213">
        <f>'II. Datos  Ganaderos'!U30</f>
        <v>0</v>
      </c>
      <c r="S30" s="977" t="s">
        <v>960</v>
      </c>
      <c r="T30" s="608"/>
      <c r="U30" s="623">
        <f t="shared" si="6"/>
        <v>0</v>
      </c>
      <c r="V30" s="1216">
        <f>+X4</f>
        <v>0</v>
      </c>
      <c r="Z30" s="977" t="s">
        <v>961</v>
      </c>
      <c r="AA30" s="608"/>
      <c r="AB30" s="623">
        <f t="shared" si="9"/>
        <v>0</v>
      </c>
      <c r="AC30" s="1216">
        <f>+AB22</f>
        <v>0</v>
      </c>
      <c r="AD30" s="915">
        <f>+IF('V. Indicadores'!$N$3=0,0,(AC30/'V. Indicadores'!$N$3))</f>
        <v>0</v>
      </c>
      <c r="AE30" s="605"/>
      <c r="AK30" s="926"/>
      <c r="AL30" s="608" t="str">
        <f t="shared" si="7"/>
        <v>XXX</v>
      </c>
      <c r="AM30" s="608"/>
      <c r="AN30" s="1241">
        <f t="shared" si="8"/>
        <v>0</v>
      </c>
      <c r="AO30" s="1242"/>
      <c r="AR30" s="926" t="str">
        <f>+'V. Indicadores'!B34</f>
        <v>Dotación de Invernada</v>
      </c>
      <c r="AS30" s="612" t="str">
        <f>+'V. Indicadores'!C34</f>
        <v>cab</v>
      </c>
      <c r="AT30" s="1216">
        <f>+'V. Indicadores'!D34</f>
        <v>0</v>
      </c>
      <c r="AX30" s="1005" t="s">
        <v>962</v>
      </c>
      <c r="AY30" s="1007"/>
      <c r="AZ30" s="925"/>
      <c r="BC30" s="1016" t="s">
        <v>329</v>
      </c>
      <c r="BD30" s="614"/>
      <c r="BE30" s="1017"/>
      <c r="BH30" s="926" t="str">
        <f>+'V. Indicadores'!Z32</f>
        <v>Vbp Cultivo  6/Sup 6</v>
      </c>
      <c r="BI30" s="612" t="str">
        <f>+'V. Indicadores'!AA32</f>
        <v>Vbp Cult.6/ha</v>
      </c>
      <c r="BJ30" s="1216">
        <f>+'V. Indicadores'!AB32</f>
        <v>0</v>
      </c>
      <c r="BL30" s="1395"/>
      <c r="BM30" s="1395"/>
      <c r="BN30" s="1395"/>
      <c r="BO30" s="1395"/>
      <c r="BP30" s="1395"/>
      <c r="BQ30" s="1395"/>
      <c r="BR30" s="1395"/>
      <c r="BS30" s="1395"/>
      <c r="BT30" s="1395"/>
      <c r="BU30" s="1395"/>
      <c r="BY30" s="934"/>
      <c r="DA30" s="1520" t="s">
        <v>963</v>
      </c>
      <c r="DB30" s="1504"/>
      <c r="DC30" s="1510"/>
      <c r="DD30" s="1508"/>
      <c r="DE30" s="1504"/>
      <c r="DI30" s="1517" t="s">
        <v>964</v>
      </c>
      <c r="DL30" s="1509">
        <f>+'II. Datos  Ganaderos'!AD107+'II. Datos  Ganaderos'!AD109</f>
        <v>0</v>
      </c>
      <c r="DN30" s="1517"/>
    </row>
    <row r="31" spans="1:116" ht="16.5" customHeight="1" thickBot="1">
      <c r="A31" s="1002" t="str">
        <f>'II. Datos  Ganaderos'!Z15</f>
        <v>     Terneros</v>
      </c>
      <c r="B31" s="1095">
        <f>'II. Datos  Ganaderos'!AA15</f>
        <v>0</v>
      </c>
      <c r="D31" s="1002" t="str">
        <f>'II. Datos  Ganaderos'!AD15</f>
        <v>Vaquillonas</v>
      </c>
      <c r="E31" s="1095">
        <f>'II. Datos  Ganaderos'!AE15</f>
        <v>0</v>
      </c>
      <c r="M31" s="966"/>
      <c r="N31" s="675">
        <f>'II. Datos  Ganaderos'!R31</f>
        <v>0</v>
      </c>
      <c r="O31" s="681">
        <f>'II. Datos  Ganaderos'!S31</f>
        <v>0</v>
      </c>
      <c r="P31" s="678">
        <f>'II. Datos  Ganaderos'!T31</f>
        <v>0</v>
      </c>
      <c r="Q31" s="1213">
        <f>'II. Datos  Ganaderos'!U31</f>
        <v>0</v>
      </c>
      <c r="S31" s="966" t="str">
        <f>+Z34</f>
        <v> Mano de obra </v>
      </c>
      <c r="T31" s="608"/>
      <c r="U31" s="623">
        <f t="shared" si="6"/>
        <v>0</v>
      </c>
      <c r="V31" s="1216">
        <f>+X6+X7</f>
        <v>0</v>
      </c>
      <c r="Z31" s="977" t="str">
        <f>+Z23</f>
        <v>      Leche consumida en guachera</v>
      </c>
      <c r="AA31" s="608"/>
      <c r="AB31" s="623">
        <f t="shared" si="9"/>
        <v>0</v>
      </c>
      <c r="AC31" s="1216">
        <f>+AB23</f>
        <v>0</v>
      </c>
      <c r="AD31" s="915">
        <f>+IF('V. Indicadores'!$N$3=0,0,(AC31/'V. Indicadores'!$N$3))</f>
        <v>0</v>
      </c>
      <c r="AE31" s="605"/>
      <c r="AK31" s="926"/>
      <c r="AL31" s="608" t="str">
        <f t="shared" si="7"/>
        <v>XXX</v>
      </c>
      <c r="AM31" s="608"/>
      <c r="AN31" s="1241">
        <f t="shared" si="8"/>
        <v>0</v>
      </c>
      <c r="AO31" s="1242"/>
      <c r="AR31" s="926" t="str">
        <f>+'V. Indicadores'!B35</f>
        <v>Potencia disponible</v>
      </c>
      <c r="AS31" s="612" t="str">
        <f>+'V. Indicadores'!C35</f>
        <v>Hp</v>
      </c>
      <c r="AT31" s="1216">
        <f>+'V. Indicadores'!D35</f>
        <v>0</v>
      </c>
      <c r="AX31" s="1021" t="s">
        <v>825</v>
      </c>
      <c r="AY31" s="1009"/>
      <c r="AZ31" s="997"/>
      <c r="BC31" s="1018" t="str">
        <f>+'V. Indicadores'!T69</f>
        <v>Gasto Alimentación/VT</v>
      </c>
      <c r="BD31" s="617" t="str">
        <f>+'V. Indicadores'!U69</f>
        <v>$/VT</v>
      </c>
      <c r="BE31" s="1233">
        <f>+'V. Indicadores'!V69</f>
        <v>0</v>
      </c>
      <c r="BH31" s="926" t="str">
        <f>+'V. Indicadores'!Z33</f>
        <v>Vbp Cultivo  7/Sup 7</v>
      </c>
      <c r="BI31" s="612" t="str">
        <f>+'V. Indicadores'!AA33</f>
        <v>Vbp Cult.7/ha</v>
      </c>
      <c r="BJ31" s="1216">
        <f>+'V. Indicadores'!AB33</f>
        <v>0</v>
      </c>
      <c r="BL31" s="1395"/>
      <c r="BM31" s="1395"/>
      <c r="BN31" s="1395"/>
      <c r="BO31" s="1395"/>
      <c r="BP31" s="1395"/>
      <c r="BQ31" s="1395"/>
      <c r="BR31" s="1395"/>
      <c r="BS31" s="1395"/>
      <c r="BT31" s="1395"/>
      <c r="BU31" s="1395"/>
      <c r="DA31" s="1504" t="s">
        <v>385</v>
      </c>
      <c r="DB31" s="1515" t="s">
        <v>386</v>
      </c>
      <c r="DC31" s="1510">
        <f>+'II. Datos  Ganaderos'!E15</f>
        <v>0</v>
      </c>
      <c r="DD31" s="1395" t="s">
        <v>965</v>
      </c>
      <c r="DE31" s="1395">
        <f>DF16+DF15</f>
        <v>0</v>
      </c>
      <c r="DF31" s="1529">
        <f>IF('II. Datos  Ganaderos'!AF21=0,0,'II. Datos  Ganaderos'!AF21/('II. Datos  Ganaderos'!AQ53+'II. Datos  Ganaderos'!AQ58))</f>
        <v>0</v>
      </c>
      <c r="DI31" s="1508" t="s">
        <v>966</v>
      </c>
      <c r="DL31" s="1509">
        <f>IF(DL30=0,0,+DC12/DL30)</f>
        <v>0</v>
      </c>
    </row>
    <row r="32" spans="1:110" ht="16.5" customHeight="1" thickBot="1">
      <c r="A32" s="1002" t="str">
        <f>'II. Datos  Ganaderos'!Z16</f>
        <v>     Terneras</v>
      </c>
      <c r="B32" s="1095">
        <f>'II. Datos  Ganaderos'!AA16</f>
        <v>0</v>
      </c>
      <c r="D32" s="1002" t="str">
        <f>'II. Datos  Ganaderos'!AD16</f>
        <v>Vacas</v>
      </c>
      <c r="E32" s="1095">
        <f>'II. Datos  Ganaderos'!AE16</f>
        <v>0</v>
      </c>
      <c r="M32" s="966"/>
      <c r="N32" s="675">
        <f>'II. Datos  Ganaderos'!R32</f>
        <v>0</v>
      </c>
      <c r="O32" s="681">
        <f>'II. Datos  Ganaderos'!S32</f>
        <v>0</v>
      </c>
      <c r="P32" s="678">
        <f>'II. Datos  Ganaderos'!T32</f>
        <v>0</v>
      </c>
      <c r="Q32" s="1213">
        <f>'II. Datos  Ganaderos'!U32</f>
        <v>0</v>
      </c>
      <c r="S32" s="966" t="str">
        <f>+Z35</f>
        <v> Varios</v>
      </c>
      <c r="T32" s="608"/>
      <c r="U32" s="623">
        <f t="shared" si="6"/>
        <v>0</v>
      </c>
      <c r="V32" s="1216">
        <f>+X9+X10+X11</f>
        <v>0</v>
      </c>
      <c r="Z32" s="977" t="s">
        <v>967</v>
      </c>
      <c r="AA32" s="608"/>
      <c r="AB32" s="623">
        <f t="shared" si="9"/>
        <v>0</v>
      </c>
      <c r="AC32" s="1216">
        <f>+AE4+AE5+AE9</f>
        <v>0</v>
      </c>
      <c r="AD32" s="915">
        <f>+IF('V. Indicadores'!$N$3=0,0,(AC32/'V. Indicadores'!$N$3))</f>
        <v>0</v>
      </c>
      <c r="AE32" s="605"/>
      <c r="AK32" s="926"/>
      <c r="AL32" s="608" t="str">
        <f t="shared" si="7"/>
        <v>XXX</v>
      </c>
      <c r="AM32" s="608"/>
      <c r="AN32" s="1241">
        <f t="shared" si="8"/>
        <v>0</v>
      </c>
      <c r="AO32" s="1242"/>
      <c r="AR32" s="926" t="str">
        <f>+'V. Indicadores'!B36</f>
        <v>Mano de obra total</v>
      </c>
      <c r="AS32" s="612" t="str">
        <f>+'V. Indicadores'!C36</f>
        <v>EH</v>
      </c>
      <c r="AT32" s="1501">
        <f>+'V. Indicadores'!D36</f>
        <v>0</v>
      </c>
      <c r="AX32" s="923" t="s">
        <v>841</v>
      </c>
      <c r="AY32" s="1007"/>
      <c r="AZ32" s="925"/>
      <c r="BC32" s="926" t="str">
        <f>+'V. Indicadores'!T70</f>
        <v>Gasto Mano obra ordeño/VT</v>
      </c>
      <c r="BD32" s="612" t="str">
        <f>+'V. Indicadores'!U70</f>
        <v>$/VT</v>
      </c>
      <c r="BE32" s="996">
        <f>+'V. Indicadores'!V70</f>
        <v>0</v>
      </c>
      <c r="BH32" s="926" t="str">
        <f>+'V. Indicadores'!Z34</f>
        <v>Vbp Cultivo  8/Sup 8</v>
      </c>
      <c r="BI32" s="612" t="str">
        <f>+'V. Indicadores'!AA34</f>
        <v>Vbp Cult.8/ha</v>
      </c>
      <c r="BJ32" s="1216">
        <f>+'V. Indicadores'!AB34</f>
        <v>0</v>
      </c>
      <c r="BL32" s="1395"/>
      <c r="BM32" s="1395"/>
      <c r="BN32" s="1395"/>
      <c r="BO32" s="1395"/>
      <c r="BP32" s="1395"/>
      <c r="BQ32" s="1395"/>
      <c r="BR32" s="1395"/>
      <c r="BS32" s="1395"/>
      <c r="BT32" s="1395"/>
      <c r="BU32" s="1395"/>
      <c r="CS32" s="1526" t="s">
        <v>968</v>
      </c>
      <c r="CT32" s="1507"/>
      <c r="CU32" s="1507"/>
      <c r="CV32" s="1507"/>
      <c r="CW32" s="1527"/>
      <c r="DA32" s="1504" t="s">
        <v>391</v>
      </c>
      <c r="DB32" s="1504" t="s">
        <v>392</v>
      </c>
      <c r="DC32" s="1510">
        <f>+'II. Datos  Ganaderos'!E16</f>
        <v>0</v>
      </c>
      <c r="DF32" s="1509"/>
    </row>
    <row r="33" spans="1:113" ht="16.5" customHeight="1" thickBot="1">
      <c r="A33" s="1002" t="str">
        <f>'II. Datos  Ganaderos'!Z17</f>
        <v>     Equinos</v>
      </c>
      <c r="B33" s="1095">
        <f>'II. Datos  Ganaderos'!AA17</f>
        <v>0</v>
      </c>
      <c r="D33" s="1105"/>
      <c r="E33" s="1106"/>
      <c r="M33" s="966" t="str">
        <f>'II. Datos  Ganaderos'!Q33</f>
        <v>     Vaca seca</v>
      </c>
      <c r="N33" s="675">
        <f>'II. Datos  Ganaderos'!R33</f>
        <v>0</v>
      </c>
      <c r="O33" s="681">
        <f>'II. Datos  Ganaderos'!S33</f>
        <v>0</v>
      </c>
      <c r="P33" s="678">
        <f>'II. Datos  Ganaderos'!T33</f>
        <v>0</v>
      </c>
      <c r="Q33" s="1213">
        <f>'II. Datos  Ganaderos'!U33</f>
        <v>0</v>
      </c>
      <c r="S33" s="979" t="s">
        <v>969</v>
      </c>
      <c r="T33" s="668"/>
      <c r="U33" s="988"/>
      <c r="V33" s="1218">
        <f>SUM(V26:V32)</f>
        <v>0</v>
      </c>
      <c r="Z33" s="977" t="s">
        <v>970</v>
      </c>
      <c r="AA33" s="608"/>
      <c r="AB33" s="623">
        <f t="shared" si="9"/>
        <v>0</v>
      </c>
      <c r="AC33" s="1216">
        <f>SUM(AE6:AE8)</f>
        <v>0</v>
      </c>
      <c r="AD33" s="915">
        <f>+IF('V. Indicadores'!$N$3=0,0,(AC33/'V. Indicadores'!$N$3))</f>
        <v>0</v>
      </c>
      <c r="AE33" s="605"/>
      <c r="AK33" s="926"/>
      <c r="AL33" s="608" t="str">
        <f t="shared" si="7"/>
        <v>XXX</v>
      </c>
      <c r="AM33" s="608"/>
      <c r="AN33" s="1241">
        <f t="shared" si="8"/>
        <v>0</v>
      </c>
      <c r="AO33" s="1242"/>
      <c r="AR33" s="926" t="str">
        <f>+'V. Indicadores'!B37</f>
        <v>Mano de obra familiar</v>
      </c>
      <c r="AS33" s="612" t="str">
        <f>+'V. Indicadores'!C37</f>
        <v>EH</v>
      </c>
      <c r="AT33" s="1501">
        <f>+'V. Indicadores'!D37</f>
        <v>0</v>
      </c>
      <c r="AX33" s="926"/>
      <c r="AY33" s="612"/>
      <c r="AZ33" s="1006"/>
      <c r="BC33" s="926" t="str">
        <f>+'V. Indicadores'!T71</f>
        <v>Gasto  Forrajes +Grano H.+Reservas/VT</v>
      </c>
      <c r="BD33" s="612" t="str">
        <f>+'V. Indicadores'!U71</f>
        <v>$/VT</v>
      </c>
      <c r="BE33" s="996">
        <f>+'V. Indicadores'!V71</f>
        <v>0</v>
      </c>
      <c r="BH33" s="926" t="str">
        <f>+'V. Indicadores'!Z35</f>
        <v>Vbp Cultivo  9/Sup 9</v>
      </c>
      <c r="BI33" s="612" t="str">
        <f>+'V. Indicadores'!AA35</f>
        <v>Vbp Cult.9/ha</v>
      </c>
      <c r="BJ33" s="1216">
        <f>+'V. Indicadores'!AB35</f>
        <v>0</v>
      </c>
      <c r="BL33" s="1395"/>
      <c r="BM33" s="1395"/>
      <c r="BN33" s="1395"/>
      <c r="BO33" s="1395"/>
      <c r="BP33" s="1395"/>
      <c r="BQ33" s="1395"/>
      <c r="BR33" s="1395"/>
      <c r="BS33" s="1395"/>
      <c r="BT33" s="1395"/>
      <c r="BU33" s="1395"/>
      <c r="CS33" s="1507" t="s">
        <v>684</v>
      </c>
      <c r="CT33" s="1527" t="s">
        <v>655</v>
      </c>
      <c r="CU33" s="1527" t="s">
        <v>266</v>
      </c>
      <c r="CV33" s="1504" t="s">
        <v>685</v>
      </c>
      <c r="CW33" s="1504" t="s">
        <v>971</v>
      </c>
      <c r="DA33" s="1504" t="s">
        <v>399</v>
      </c>
      <c r="DB33" s="1504"/>
      <c r="DC33" s="1510">
        <f>IF('II. Datos  Ganaderos'!E17=1,"si",0)</f>
        <v>0</v>
      </c>
      <c r="DF33" s="1509"/>
      <c r="DI33" s="1505" t="s">
        <v>972</v>
      </c>
    </row>
    <row r="34" spans="1:118" ht="16.5" customHeight="1" thickBot="1">
      <c r="A34" s="1002"/>
      <c r="B34" s="1095"/>
      <c r="D34" s="1107" t="str">
        <f>'II. Datos  Ganaderos'!AD18</f>
        <v>Precio promedio H.P.($/kg)</v>
      </c>
      <c r="E34" s="1108">
        <f>'II. Datos  Ganaderos'!AE18</f>
        <v>0</v>
      </c>
      <c r="M34" s="966" t="str">
        <f>'II. Datos  Ganaderos'!Q34</f>
        <v>     Vaquillonas preñadas</v>
      </c>
      <c r="N34" s="675"/>
      <c r="O34" s="681">
        <f>'II. Datos  Ganaderos'!S34</f>
        <v>0</v>
      </c>
      <c r="P34" s="678">
        <f>'II. Datos  Ganaderos'!T34</f>
        <v>0</v>
      </c>
      <c r="Q34" s="1213">
        <f>'II. Datos  Ganaderos'!U34</f>
        <v>0</v>
      </c>
      <c r="S34" s="985" t="s">
        <v>973</v>
      </c>
      <c r="T34" s="982"/>
      <c r="U34" s="986" t="s">
        <v>532</v>
      </c>
      <c r="V34" s="987">
        <f>IF('VII. Impresión'!DN5=0,0,V33/'VII. Impresión'!DN5)</f>
        <v>0</v>
      </c>
      <c r="Z34" s="966" t="s">
        <v>974</v>
      </c>
      <c r="AA34" s="608"/>
      <c r="AB34" s="623">
        <f t="shared" si="9"/>
        <v>0</v>
      </c>
      <c r="AC34" s="1216">
        <f>+AE10+AE11+AE12</f>
        <v>0</v>
      </c>
      <c r="AD34" s="915">
        <f>+IF('V. Indicadores'!$N$3=0,0,(AC34/'V. Indicadores'!$N$3))</f>
        <v>0</v>
      </c>
      <c r="AE34" s="605"/>
      <c r="AK34" s="926"/>
      <c r="AL34" s="608" t="str">
        <f t="shared" si="7"/>
        <v>XXX</v>
      </c>
      <c r="AM34" s="608"/>
      <c r="AN34" s="1241">
        <f t="shared" si="8"/>
        <v>0</v>
      </c>
      <c r="AO34" s="1242"/>
      <c r="AR34" s="926" t="str">
        <f>+'V. Indicadores'!B38</f>
        <v>Mano de obra tambo</v>
      </c>
      <c r="AS34" s="612" t="str">
        <f>+'V. Indicadores'!C38</f>
        <v>EH</v>
      </c>
      <c r="AT34" s="1501">
        <f>+'V. Indicadores'!D38</f>
        <v>0</v>
      </c>
      <c r="AX34" s="1503" t="s">
        <v>1200</v>
      </c>
      <c r="AY34" s="612"/>
      <c r="AZ34" s="1006"/>
      <c r="BC34" s="926" t="str">
        <f>+'V. Indicadores'!T72</f>
        <v>Gasto Concentrados/VT</v>
      </c>
      <c r="BD34" s="612" t="str">
        <f>+'V. Indicadores'!U72</f>
        <v>$/VT</v>
      </c>
      <c r="BE34" s="996">
        <f>+'V. Indicadores'!V72</f>
        <v>0</v>
      </c>
      <c r="BH34" s="926" t="str">
        <f>+'V. Indicadores'!Z36</f>
        <v>Productividad del rodeo tambo</v>
      </c>
      <c r="BI34" s="612" t="str">
        <f>+'V. Indicadores'!AA36</f>
        <v>Vbp tambo/VT</v>
      </c>
      <c r="BJ34" s="1216">
        <f>+'V. Indicadores'!AB36</f>
        <v>0</v>
      </c>
      <c r="BL34" s="1395"/>
      <c r="BM34" s="1395"/>
      <c r="BN34" s="1395"/>
      <c r="BO34" s="1395"/>
      <c r="BP34" s="1395"/>
      <c r="BQ34" s="1395"/>
      <c r="BR34" s="1395"/>
      <c r="BS34" s="1395"/>
      <c r="BT34" s="1395"/>
      <c r="BU34" s="1395"/>
      <c r="CS34" s="1507"/>
      <c r="CT34" s="1527" t="s">
        <v>7</v>
      </c>
      <c r="CU34" s="1527" t="s">
        <v>7</v>
      </c>
      <c r="CV34" s="1527" t="s">
        <v>7</v>
      </c>
      <c r="DA34" s="1530" t="s">
        <v>401</v>
      </c>
      <c r="DC34" s="1510"/>
      <c r="DF34" s="1509"/>
      <c r="DI34" s="1512" t="s">
        <v>329</v>
      </c>
      <c r="DM34" s="1512" t="s">
        <v>330</v>
      </c>
      <c r="DN34" s="1396"/>
    </row>
    <row r="35" spans="1:118" ht="16.5" customHeight="1" thickBot="1">
      <c r="A35" s="1046" t="s">
        <v>410</v>
      </c>
      <c r="B35" s="1096">
        <f>'II. Datos  Ganaderos'!AA19</f>
        <v>0</v>
      </c>
      <c r="D35" s="1107" t="str">
        <f>'II. Datos  Ganaderos'!AD19</f>
        <v>Precio promedio H.C.($/kg)</v>
      </c>
      <c r="E35" s="1108">
        <f>'II. Datos  Ganaderos'!AE19</f>
        <v>0</v>
      </c>
      <c r="M35" s="966" t="str">
        <f>'II. Datos  Ganaderos'!Q35</f>
        <v>     Terneros/as &lt; 1 año</v>
      </c>
      <c r="N35" s="675"/>
      <c r="O35" s="681">
        <f>'II. Datos  Ganaderos'!S35</f>
        <v>0</v>
      </c>
      <c r="P35" s="678">
        <f>'II. Datos  Ganaderos'!T35</f>
        <v>0</v>
      </c>
      <c r="Q35" s="1213">
        <f>'II. Datos  Ganaderos'!U35</f>
        <v>0</v>
      </c>
      <c r="Z35" s="966" t="s">
        <v>975</v>
      </c>
      <c r="AA35" s="608"/>
      <c r="AB35" s="623">
        <f t="shared" si="9"/>
        <v>0</v>
      </c>
      <c r="AC35" s="1216">
        <f>+AE15+AE16+AE17+AE14</f>
        <v>0</v>
      </c>
      <c r="AD35" s="915">
        <f>+IF('V. Indicadores'!$N$3=0,0,(AC35/'V. Indicadores'!$N$3))</f>
        <v>0</v>
      </c>
      <c r="AE35" s="605"/>
      <c r="AK35" s="974" t="s">
        <v>673</v>
      </c>
      <c r="AL35" s="608"/>
      <c r="AM35" s="622" t="s">
        <v>976</v>
      </c>
      <c r="AN35" s="1241"/>
      <c r="AO35" s="1245">
        <f>AO21-AO22</f>
        <v>0</v>
      </c>
      <c r="AR35" s="926" t="str">
        <f>+'V. Indicadores'!B39</f>
        <v>Mano de obra invernada</v>
      </c>
      <c r="AS35" s="612" t="str">
        <f>+'V. Indicadores'!C39</f>
        <v>EH</v>
      </c>
      <c r="AT35" s="1501">
        <f>+'V. Indicadores'!D39</f>
        <v>0</v>
      </c>
      <c r="AX35" s="926" t="str">
        <f>+'V. Indicadores'!T6</f>
        <v>Superf.efect. Praderas / sup.efect.ganadera</v>
      </c>
      <c r="AY35" s="612"/>
      <c r="AZ35" s="1006">
        <f>+'V. Indicadores'!V6</f>
        <v>0</v>
      </c>
      <c r="BC35" s="926" t="str">
        <f>+'V. Indicadores'!T73</f>
        <v>Gastos Directos/l.leche producida</v>
      </c>
      <c r="BD35" s="612" t="str">
        <f>+'V. Indicadores'!U73</f>
        <v>$/l</v>
      </c>
      <c r="BE35" s="1114">
        <f>+'V. Indicadores'!V73</f>
        <v>0</v>
      </c>
      <c r="BH35" s="927" t="str">
        <f>+'V. Indicadores'!Z37</f>
        <v>Productividad del rodeo invernada</v>
      </c>
      <c r="BI35" s="1009" t="str">
        <f>+'V. Indicadores'!AA37</f>
        <v>Vbp Invern./cab</v>
      </c>
      <c r="BJ35" s="1217">
        <f>+'V. Indicadores'!AB37</f>
        <v>0</v>
      </c>
      <c r="BL35" s="1395"/>
      <c r="BM35" s="1395"/>
      <c r="BN35" s="1395"/>
      <c r="BO35" s="1395"/>
      <c r="BP35" s="1395"/>
      <c r="BQ35" s="1395"/>
      <c r="BR35" s="1395"/>
      <c r="BS35" s="1395"/>
      <c r="BT35" s="1395"/>
      <c r="BU35" s="1395"/>
      <c r="CS35" s="1395" t="str">
        <f aca="true" t="shared" si="10" ref="CS35:CS43">+CQ18</f>
        <v>XXX</v>
      </c>
      <c r="CT35" s="1395">
        <f aca="true" t="shared" si="11" ref="CT35:CT43">+CV18*CT4</f>
        <v>0</v>
      </c>
      <c r="CU35" s="1395">
        <f aca="true" t="shared" si="12" ref="CU35:CU43">+CW18*CT4</f>
        <v>0</v>
      </c>
      <c r="CV35" s="1395">
        <f aca="true" t="shared" si="13" ref="CV35:CV43">+CX18*CT4</f>
        <v>0</v>
      </c>
      <c r="DA35" s="1504" t="s">
        <v>402</v>
      </c>
      <c r="DB35" s="1504" t="s">
        <v>317</v>
      </c>
      <c r="DC35" s="1510">
        <f>+'II. Datos  Ganaderos'!E18</f>
        <v>0</v>
      </c>
      <c r="DF35" s="1509"/>
      <c r="DI35" s="1517" t="s">
        <v>977</v>
      </c>
      <c r="DJ35" s="1517"/>
      <c r="DK35" s="1517">
        <f>IF('II. Datos  Ganaderos'!E7=0,0,'II. Datos  Ganaderos'!E9/'II. Datos  Ganaderos'!E7)</f>
        <v>0</v>
      </c>
      <c r="DL35" s="1517"/>
      <c r="DM35" s="1520" t="s">
        <v>978</v>
      </c>
      <c r="DN35" s="1395">
        <f>'II. Datos  Ganaderos'!AE18</f>
        <v>0</v>
      </c>
    </row>
    <row r="36" spans="1:118" ht="16.5" customHeight="1" thickBot="1">
      <c r="A36" s="966" t="s">
        <v>416</v>
      </c>
      <c r="B36" s="1095">
        <f>'II. Datos  Ganaderos'!AA20</f>
        <v>0</v>
      </c>
      <c r="D36" s="1107" t="str">
        <f>A36</f>
        <v>Total ventas (Cabezas)</v>
      </c>
      <c r="E36" s="1095">
        <f>'II. Datos  Ganaderos'!AE20</f>
        <v>0</v>
      </c>
      <c r="M36" s="966" t="str">
        <f>'II. Datos  Ganaderos'!Q36</f>
        <v>     Terneros/as &lt; 1 año</v>
      </c>
      <c r="N36" s="675"/>
      <c r="O36" s="681">
        <f>'II. Datos  Ganaderos'!S36</f>
        <v>0</v>
      </c>
      <c r="P36" s="678">
        <f>'II. Datos  Ganaderos'!T36</f>
        <v>0</v>
      </c>
      <c r="Q36" s="1213">
        <f>'II. Datos  Ganaderos'!U36</f>
        <v>0</v>
      </c>
      <c r="Z36" s="979" t="s">
        <v>969</v>
      </c>
      <c r="AA36" s="982"/>
      <c r="AB36" s="984">
        <f>SUM(AB27:AB35)</f>
        <v>0</v>
      </c>
      <c r="AC36" s="1218">
        <f>SUM(AC27:AC35)</f>
        <v>0</v>
      </c>
      <c r="AD36" s="1351">
        <f>SUM(AD27:AD35)</f>
        <v>0</v>
      </c>
      <c r="AE36" s="605"/>
      <c r="AK36" s="926" t="s">
        <v>98</v>
      </c>
      <c r="AL36" s="618"/>
      <c r="AM36" s="623">
        <f>IF(AO35=0,0,AO36/$AO$35)</f>
        <v>0</v>
      </c>
      <c r="AN36" s="1241"/>
      <c r="AO36" s="1244">
        <f>+AN4+AN5+AN6-AO23</f>
        <v>0</v>
      </c>
      <c r="AR36" s="927" t="str">
        <f>+'V. Indicadores'!B40</f>
        <v>Mano de obra agricultura</v>
      </c>
      <c r="AS36" s="1009" t="str">
        <f>+'V. Indicadores'!C40</f>
        <v>EH</v>
      </c>
      <c r="AT36" s="1502">
        <f>+'V. Indicadores'!D40</f>
        <v>0</v>
      </c>
      <c r="AX36" s="926" t="str">
        <f>+'V. Indicadores'!T7</f>
        <v>Superf.efect. Verdeos / sup.efect.ganadera</v>
      </c>
      <c r="AY36" s="612"/>
      <c r="AZ36" s="1006">
        <f>+'V. Indicadores'!V7</f>
        <v>0</v>
      </c>
      <c r="BC36" s="926" t="str">
        <f>+'V. Indicadores'!T74</f>
        <v>Gastos Directos/kg GB</v>
      </c>
      <c r="BD36" s="612" t="str">
        <f>+'V. Indicadores'!U74</f>
        <v>$/kg GB</v>
      </c>
      <c r="BE36" s="1020">
        <f>+'V. Indicadores'!V74</f>
        <v>0</v>
      </c>
      <c r="BH36" s="608"/>
      <c r="BI36" s="612"/>
      <c r="BJ36" s="608"/>
      <c r="BL36" s="1395"/>
      <c r="BM36" s="1395"/>
      <c r="BN36" s="1395"/>
      <c r="BO36" s="1395"/>
      <c r="BP36" s="1395"/>
      <c r="BQ36" s="1395"/>
      <c r="BR36" s="1395"/>
      <c r="BS36" s="1395"/>
      <c r="BT36" s="1395"/>
      <c r="BU36" s="1395"/>
      <c r="CS36" s="1395" t="str">
        <f t="shared" si="10"/>
        <v>XXX</v>
      </c>
      <c r="CT36" s="1395">
        <f t="shared" si="11"/>
        <v>0</v>
      </c>
      <c r="CU36" s="1395">
        <f t="shared" si="12"/>
        <v>0</v>
      </c>
      <c r="CV36" s="1395">
        <f t="shared" si="13"/>
        <v>0</v>
      </c>
      <c r="DA36" s="1504" t="s">
        <v>407</v>
      </c>
      <c r="DB36" s="1504" t="s">
        <v>408</v>
      </c>
      <c r="DC36" s="1510">
        <f>+'II. Datos  Ganaderos'!E19</f>
        <v>0</v>
      </c>
      <c r="DD36" s="1504"/>
      <c r="DF36" s="1509"/>
      <c r="DI36" s="1517" t="s">
        <v>980</v>
      </c>
      <c r="DK36" s="1509">
        <f>+'II. Datos  Ganaderos'!E10</f>
        <v>0</v>
      </c>
      <c r="DL36" s="1509"/>
      <c r="DM36" s="1509" t="s">
        <v>981</v>
      </c>
      <c r="DN36" s="1509">
        <f>IF('II. Datos  Ganaderos'!AE18=0,0,'II. Datos  Ganaderos'!AE34/('II. Datos  Ganaderos'!AE18))</f>
        <v>0</v>
      </c>
    </row>
    <row r="37" spans="1:118" ht="16.5" customHeight="1">
      <c r="A37" s="966" t="s">
        <v>421</v>
      </c>
      <c r="B37" s="1097">
        <f>'II. Datos  Ganaderos'!AB21</f>
        <v>0</v>
      </c>
      <c r="D37" s="1107" t="str">
        <f>A37</f>
        <v>Total ventas (kg)</v>
      </c>
      <c r="E37" s="1097">
        <f>'II. Datos  Ganaderos'!AF21</f>
        <v>0</v>
      </c>
      <c r="M37" s="966" t="s">
        <v>50</v>
      </c>
      <c r="N37" s="675"/>
      <c r="O37" s="681" t="str">
        <f>'II. Datos  Ganaderos'!S37</f>
        <v> </v>
      </c>
      <c r="P37" s="678"/>
      <c r="Q37" s="1213"/>
      <c r="AK37" s="926" t="s">
        <v>106</v>
      </c>
      <c r="AL37" s="608"/>
      <c r="AM37" s="623">
        <f>IF(AO35=0,0,AO37/$AO$35)</f>
        <v>0</v>
      </c>
      <c r="AN37" s="1241"/>
      <c r="AO37" s="1244">
        <f>SUM(AN8:AN9)-AO24</f>
        <v>0</v>
      </c>
      <c r="AX37" s="926" t="str">
        <f>+'V. Indicadores'!T8</f>
        <v>Superf.efect. Silo / sup.efect.ganadera</v>
      </c>
      <c r="AY37" s="612"/>
      <c r="AZ37" s="1006">
        <f>+'V. Indicadores'!V8</f>
        <v>0</v>
      </c>
      <c r="BC37" s="926" t="str">
        <f>+'V. Indicadores'!T75</f>
        <v>Precio de venta del kg GB </v>
      </c>
      <c r="BD37" s="612" t="str">
        <f>+'V. Indicadores'!U75</f>
        <v>$/kg GB</v>
      </c>
      <c r="BE37" s="1020">
        <f>+'V. Indicadores'!V75</f>
        <v>0</v>
      </c>
      <c r="BL37" s="1395"/>
      <c r="BM37" s="1395"/>
      <c r="BN37" s="1395"/>
      <c r="BO37" s="1395"/>
      <c r="BP37" s="1395"/>
      <c r="BQ37" s="1395"/>
      <c r="BR37" s="1395"/>
      <c r="BS37" s="1395"/>
      <c r="BT37" s="1395"/>
      <c r="BU37" s="1395"/>
      <c r="CS37" s="1395" t="str">
        <f t="shared" si="10"/>
        <v>XXX</v>
      </c>
      <c r="CT37" s="1395">
        <f t="shared" si="11"/>
        <v>0</v>
      </c>
      <c r="CU37" s="1395">
        <f t="shared" si="12"/>
        <v>0</v>
      </c>
      <c r="CV37" s="1395">
        <f t="shared" si="13"/>
        <v>0</v>
      </c>
      <c r="DA37" s="1508" t="s">
        <v>982</v>
      </c>
      <c r="DC37" s="1510">
        <f>+'II. Datos  Ganaderos'!E23</f>
        <v>0</v>
      </c>
      <c r="DD37" s="1504"/>
      <c r="DF37" s="1509"/>
      <c r="DI37" s="1517" t="s">
        <v>983</v>
      </c>
      <c r="DK37" s="1509">
        <f>DL8*DK36</f>
        <v>0</v>
      </c>
      <c r="DL37" s="1509"/>
      <c r="DM37" s="1508" t="s">
        <v>984</v>
      </c>
      <c r="DN37" s="1509">
        <f>'II. Datos  Ganaderos'!AE19</f>
        <v>0</v>
      </c>
    </row>
    <row r="38" spans="1:118" ht="16.5" customHeight="1" thickBot="1">
      <c r="A38" s="1045" t="s">
        <v>425</v>
      </c>
      <c r="B38" s="1098">
        <f>'II. Datos  Ganaderos'!AC22</f>
        <v>0</v>
      </c>
      <c r="D38" s="1107" t="str">
        <f>A38</f>
        <v>Total ventas ($)</v>
      </c>
      <c r="E38" s="1098">
        <f>'II. Datos  Ganaderos'!AG22</f>
        <v>0</v>
      </c>
      <c r="M38" s="1045" t="str">
        <f>'II. Datos  Ganaderos'!Q37</f>
        <v>Total concentrados (kg)</v>
      </c>
      <c r="N38" s="680"/>
      <c r="O38" s="682" t="str">
        <f>'II. Datos  Ganaderos'!S37</f>
        <v> </v>
      </c>
      <c r="P38" s="682">
        <f>'II. Datos  Ganaderos'!T37</f>
        <v>0</v>
      </c>
      <c r="Q38" s="1214">
        <f>'II. Datos  Ganaderos'!U37</f>
        <v>0</v>
      </c>
      <c r="Z38" s="603" t="s">
        <v>985</v>
      </c>
      <c r="AK38" s="926" t="s">
        <v>108</v>
      </c>
      <c r="AL38" s="608"/>
      <c r="AM38" s="623">
        <f>IF(AO35=0,0,AO38/$AO$35)</f>
        <v>0</v>
      </c>
      <c r="AN38" s="1241"/>
      <c r="AO38" s="1244">
        <f>+AO10-AO25</f>
        <v>0</v>
      </c>
      <c r="AR38" s="604" t="s">
        <v>979</v>
      </c>
      <c r="AT38" s="1230"/>
      <c r="AX38" s="926" t="str">
        <f>+'V. Indicadores'!T9</f>
        <v>Superf.efect.Grano Hum / sup.efect.ganadera</v>
      </c>
      <c r="AY38" s="612"/>
      <c r="AZ38" s="1006">
        <f>+'V. Indicadores'!V9</f>
        <v>0</v>
      </c>
      <c r="BC38" s="926" t="str">
        <f>+'V. Indicadores'!T76</f>
        <v>Precio de venta de la leche</v>
      </c>
      <c r="BD38" s="612" t="str">
        <f>+'V. Indicadores'!U76</f>
        <v>$/l</v>
      </c>
      <c r="BE38" s="1020">
        <f>+'V. Indicadores'!V76</f>
        <v>0</v>
      </c>
      <c r="BL38" s="1395"/>
      <c r="BM38" s="1395"/>
      <c r="BN38" s="1395"/>
      <c r="BO38" s="1395"/>
      <c r="BP38" s="1395"/>
      <c r="BQ38" s="1395"/>
      <c r="BR38" s="1395"/>
      <c r="BS38" s="1395"/>
      <c r="BT38" s="1395"/>
      <c r="BU38" s="1395"/>
      <c r="CS38" s="1395" t="str">
        <f t="shared" si="10"/>
        <v>XXX</v>
      </c>
      <c r="CT38" s="1395">
        <f t="shared" si="11"/>
        <v>0</v>
      </c>
      <c r="CU38" s="1395">
        <f t="shared" si="12"/>
        <v>0</v>
      </c>
      <c r="CV38" s="1395">
        <f t="shared" si="13"/>
        <v>0</v>
      </c>
      <c r="DA38" s="1508" t="s">
        <v>986</v>
      </c>
      <c r="DC38" s="1510">
        <f>+'II. Datos  Ganaderos'!E24</f>
        <v>0</v>
      </c>
      <c r="DD38" s="1509"/>
      <c r="DF38" s="1509"/>
      <c r="DI38" s="1517" t="s">
        <v>987</v>
      </c>
      <c r="DK38" s="1509">
        <f>DL14*DK36</f>
        <v>0</v>
      </c>
      <c r="DL38" s="1509"/>
      <c r="DM38" s="1509" t="s">
        <v>988</v>
      </c>
      <c r="DN38" s="1509">
        <f>'VII. Impresión'!AN8+'VII. Impresión'!AN9</f>
        <v>0</v>
      </c>
    </row>
    <row r="39" spans="1:118" ht="16.5" customHeight="1">
      <c r="A39" s="1046" t="s">
        <v>329</v>
      </c>
      <c r="B39" s="1099"/>
      <c r="D39" s="1101" t="s">
        <v>330</v>
      </c>
      <c r="E39" s="1109"/>
      <c r="M39" s="1046" t="str">
        <f>'II. Datos  Ganaderos'!Q38</f>
        <v>Compra heno consumido (rollos)</v>
      </c>
      <c r="N39" s="676"/>
      <c r="O39" s="676"/>
      <c r="P39" s="676"/>
      <c r="Q39" s="1047">
        <f>'II. Datos  Ganaderos'!T38</f>
        <v>0</v>
      </c>
      <c r="Z39" s="1346" t="s">
        <v>989</v>
      </c>
      <c r="AA39" s="1349" t="s">
        <v>990</v>
      </c>
      <c r="AB39" s="1350" t="s">
        <v>991</v>
      </c>
      <c r="AK39" s="926"/>
      <c r="AL39" s="608"/>
      <c r="AM39" s="608"/>
      <c r="AN39" s="1243"/>
      <c r="AO39" s="1242"/>
      <c r="AR39" s="923" t="str">
        <f>+'V. Indicadores'!L3</f>
        <v>Producción leche total</v>
      </c>
      <c r="AS39" s="1007" t="str">
        <f>+'V. Indicadores'!M3</f>
        <v>lts/año</v>
      </c>
      <c r="AT39" s="1229">
        <f>+'V. Indicadores'!N3</f>
        <v>0</v>
      </c>
      <c r="AX39" s="926" t="str">
        <f>+'V. Indicadores'!T10</f>
        <v>Superf.efect.rastrojos / sup.efect.ganadera</v>
      </c>
      <c r="AY39" s="612"/>
      <c r="AZ39" s="1006">
        <f>+'V. Indicadores'!V10</f>
        <v>0</v>
      </c>
      <c r="BC39" s="926" t="str">
        <f>+'V. Indicadores'!T78</f>
        <v>Margen sobre Concentrado/litros</v>
      </c>
      <c r="BD39" s="612" t="str">
        <f>+'V. Indicadores'!U78</f>
        <v>lt/VO-día</v>
      </c>
      <c r="BE39" s="967">
        <f>+'V. Indicadores'!V78</f>
        <v>0</v>
      </c>
      <c r="BL39" s="1395"/>
      <c r="BM39" s="1395"/>
      <c r="BN39" s="1395"/>
      <c r="BO39" s="1395"/>
      <c r="BP39" s="1395"/>
      <c r="BQ39" s="1395"/>
      <c r="BR39" s="1395"/>
      <c r="BS39" s="1395"/>
      <c r="BT39" s="1395"/>
      <c r="BU39" s="1395"/>
      <c r="CS39" s="1395" t="str">
        <f t="shared" si="10"/>
        <v>XXX</v>
      </c>
      <c r="CT39" s="1395">
        <f t="shared" si="11"/>
        <v>0</v>
      </c>
      <c r="CU39" s="1395">
        <f t="shared" si="12"/>
        <v>0</v>
      </c>
      <c r="CV39" s="1395">
        <f t="shared" si="13"/>
        <v>0</v>
      </c>
      <c r="CW39" s="1504"/>
      <c r="DD39" s="1509"/>
      <c r="DF39" s="1509"/>
      <c r="DI39" s="1517" t="s">
        <v>992</v>
      </c>
      <c r="DJ39" s="1509"/>
      <c r="DK39" s="1509">
        <f>+'II. Datos  Ganaderos'!AC22-'II. Datos  Ganaderos'!AC37</f>
        <v>0</v>
      </c>
      <c r="DL39" s="1509"/>
      <c r="DM39" s="1509" t="s">
        <v>993</v>
      </c>
      <c r="DN39" s="1509">
        <f>IF('VII. Impresión'!DF12=0,0,'VII. Impresión'!AO37/'VII. Impresión'!DF12)</f>
        <v>0</v>
      </c>
    </row>
    <row r="40" spans="1:118" ht="16.5" customHeight="1">
      <c r="A40" s="926" t="s">
        <v>994</v>
      </c>
      <c r="B40" s="1100" t="str">
        <f>B23</f>
        <v>Cabezas</v>
      </c>
      <c r="D40" s="1105" t="s">
        <v>994</v>
      </c>
      <c r="E40" s="1110" t="str">
        <f>E23</f>
        <v>Cabezas</v>
      </c>
      <c r="M40" s="966" t="str">
        <f>'II. Datos  Ganaderos'!Q39</f>
        <v>Compra silo planta entera (kg MS)</v>
      </c>
      <c r="N40" s="675"/>
      <c r="O40" s="675"/>
      <c r="P40" s="675">
        <f>'II. Datos  Ganaderos'!T39</f>
        <v>0</v>
      </c>
      <c r="Q40" s="1037">
        <f>'II. Datos  Ganaderos'!U39</f>
        <v>0</v>
      </c>
      <c r="Z40" s="1347" t="s">
        <v>384</v>
      </c>
      <c r="AA40" s="1348">
        <f>+AB27+AB28+AB29+AB30+AB31</f>
        <v>0</v>
      </c>
      <c r="AB40" s="1203">
        <f>IF('VII. Impresión'!$BE$38=0,0,(('VII. Impresión'!AD27+'VII. Impresión'!AD28+'VII. Impresión'!AD29+'VII. Impresión'!AD30)/'VII. Impresión'!$BE$38))</f>
        <v>0</v>
      </c>
      <c r="AK40" s="966" t="s">
        <v>995</v>
      </c>
      <c r="AL40" s="618"/>
      <c r="AM40" s="618"/>
      <c r="AN40" s="1241"/>
      <c r="AO40" s="1244">
        <f>'Información General'!AL26</f>
        <v>0</v>
      </c>
      <c r="AR40" s="926" t="str">
        <f>+'V. Indicadores'!L4</f>
        <v>Producción leche vendida</v>
      </c>
      <c r="AS40" s="612" t="str">
        <f>+'V. Indicadores'!M4</f>
        <v>lts/año</v>
      </c>
      <c r="AT40" s="1216">
        <f>+'V. Indicadores'!N4</f>
        <v>0</v>
      </c>
      <c r="AX40" s="926" t="str">
        <f>+'V. Indicadores'!T11</f>
        <v>Superf.efect. Campo nat / sup.efect.ganadera</v>
      </c>
      <c r="AY40" s="612"/>
      <c r="AZ40" s="1006">
        <f>+'V. Indicadores'!V11</f>
        <v>0</v>
      </c>
      <c r="BC40" s="926" t="str">
        <f>+'V. Indicadores'!T79</f>
        <v>Margen Bruto</v>
      </c>
      <c r="BD40" s="612" t="str">
        <f>+'V. Indicadores'!U79</f>
        <v>$/ha</v>
      </c>
      <c r="BE40" s="1231">
        <f>+'V. Indicadores'!V79</f>
        <v>0</v>
      </c>
      <c r="BL40" s="1395"/>
      <c r="BM40" s="1395"/>
      <c r="BN40" s="1395"/>
      <c r="BO40" s="1395"/>
      <c r="BP40" s="1395"/>
      <c r="BQ40" s="1395"/>
      <c r="BR40" s="1395"/>
      <c r="BS40" s="1395"/>
      <c r="BT40" s="1395"/>
      <c r="BU40" s="1395"/>
      <c r="CS40" s="1395" t="str">
        <f t="shared" si="10"/>
        <v>XXX</v>
      </c>
      <c r="CT40" s="1395">
        <f t="shared" si="11"/>
        <v>0</v>
      </c>
      <c r="CU40" s="1395">
        <f t="shared" si="12"/>
        <v>0</v>
      </c>
      <c r="CV40" s="1395">
        <f t="shared" si="13"/>
        <v>0</v>
      </c>
      <c r="CW40" s="1504"/>
      <c r="DA40" s="1520" t="s">
        <v>996</v>
      </c>
      <c r="DF40" s="1509"/>
      <c r="DI40" s="1395" t="s">
        <v>993</v>
      </c>
      <c r="DK40" s="1509">
        <f>IF(DC12=0,0,AO36/DC12)</f>
        <v>0</v>
      </c>
      <c r="DL40" s="1509"/>
      <c r="DM40" s="1508" t="s">
        <v>997</v>
      </c>
      <c r="DN40" s="1509">
        <f>IF('VII. Impresión'!DE31=0,0,'VII. Impresión'!AO37/'VII. Impresión'!DE31)</f>
        <v>0</v>
      </c>
    </row>
    <row r="41" spans="1:118" ht="16.5" customHeight="1">
      <c r="A41" s="1101" t="str">
        <f>'II. Datos  Ganaderos'!Z24</f>
        <v>     Vaca en producción</v>
      </c>
      <c r="B41" s="1099">
        <f>'II. Datos  Ganaderos'!AA24</f>
        <v>0</v>
      </c>
      <c r="D41" s="966" t="str">
        <f>'II. Datos  Ganaderos'!AD24</f>
        <v>Hacienda propia</v>
      </c>
      <c r="E41" s="1068">
        <f>'II. Datos  Ganaderos'!AE24</f>
        <v>0</v>
      </c>
      <c r="M41" s="966" t="str">
        <f>'II. Datos  Ganaderos'!Q40</f>
        <v>SALDO EV</v>
      </c>
      <c r="N41" s="675"/>
      <c r="O41" s="675"/>
      <c r="P41" s="675"/>
      <c r="Q41" s="1037">
        <f>'II. Datos  Ganaderos'!U40</f>
        <v>0</v>
      </c>
      <c r="Z41" s="1347"/>
      <c r="AA41" s="1348"/>
      <c r="AB41" s="913"/>
      <c r="AK41" s="966" t="s">
        <v>998</v>
      </c>
      <c r="AL41" s="618"/>
      <c r="AM41" s="624">
        <f>IF(AO22=0,0,AO40/(AO22+AO40))</f>
        <v>0</v>
      </c>
      <c r="AN41" s="1241"/>
      <c r="AO41" s="1242"/>
      <c r="AR41" s="926" t="str">
        <f>+'V. Indicadores'!L5</f>
        <v>Producción Grasa Butirosa total vendida</v>
      </c>
      <c r="AS41" s="612" t="str">
        <f>+'V. Indicadores'!M5</f>
        <v>kg.GB/año</v>
      </c>
      <c r="AT41" s="1216">
        <f>+'V. Indicadores'!N5</f>
        <v>0</v>
      </c>
      <c r="AX41" s="926" t="str">
        <f>+'V. Indicadores'!T12</f>
        <v>Receptividad</v>
      </c>
      <c r="AY41" s="622" t="str">
        <f>+'V. Indicadores'!U12</f>
        <v>EV/ha</v>
      </c>
      <c r="AZ41" s="1025">
        <f>+'V. Indicadores'!V12</f>
        <v>0</v>
      </c>
      <c r="BC41" s="926" t="str">
        <f>+'V. Indicadores'!T80</f>
        <v>Margen Bruto</v>
      </c>
      <c r="BD41" s="612" t="str">
        <f>+'V. Indicadores'!U80</f>
        <v>$/VT</v>
      </c>
      <c r="BE41" s="1231">
        <f>+'V. Indicadores'!V80</f>
        <v>0</v>
      </c>
      <c r="BL41" s="1395"/>
      <c r="BM41" s="1395"/>
      <c r="BN41" s="1395"/>
      <c r="BO41" s="1395"/>
      <c r="BP41" s="1395"/>
      <c r="BQ41" s="1395"/>
      <c r="BR41" s="1395"/>
      <c r="BS41" s="1395"/>
      <c r="BT41" s="1395"/>
      <c r="BU41" s="1395"/>
      <c r="CS41" s="1395" t="str">
        <f t="shared" si="10"/>
        <v>XXX</v>
      </c>
      <c r="CT41" s="1395">
        <f t="shared" si="11"/>
        <v>0</v>
      </c>
      <c r="CU41" s="1395">
        <f t="shared" si="12"/>
        <v>0</v>
      </c>
      <c r="CV41" s="1395">
        <f t="shared" si="13"/>
        <v>0</v>
      </c>
      <c r="CW41" s="1504"/>
      <c r="DA41" s="1507" t="str">
        <f>'VII. Impresión'!CS2</f>
        <v>Cultivo</v>
      </c>
      <c r="DB41" s="1507" t="str">
        <f>'VII. Impresión'!CT2</f>
        <v>Hectareas</v>
      </c>
      <c r="DC41" s="1507" t="str">
        <f>'VII. Impresión'!CV2</f>
        <v>Rendimiento</v>
      </c>
      <c r="DD41" s="1507" t="str">
        <f>'VII. Impresión'!CW2</f>
        <v>Inten.maq</v>
      </c>
      <c r="DE41" s="1507"/>
      <c r="DF41" s="1509"/>
      <c r="DI41" s="1520" t="s">
        <v>999</v>
      </c>
      <c r="DK41" s="1509">
        <f>IF(DL14=0,0,AO36/DL14)</f>
        <v>0</v>
      </c>
      <c r="DL41" s="1509"/>
      <c r="DM41" s="1508" t="s">
        <v>1000</v>
      </c>
      <c r="DN41" s="1509">
        <f>IF(DN5=0,0,'VII. Impresión'!AO37/DN5)</f>
        <v>0</v>
      </c>
    </row>
    <row r="42" spans="1:118" ht="16.5" customHeight="1">
      <c r="A42" s="1002" t="str">
        <f>'II. Datos  Ganaderos'!Z25</f>
        <v>     Vaq.Preñadas</v>
      </c>
      <c r="B42" s="1095">
        <f>'II. Datos  Ganaderos'!AA25</f>
        <v>0</v>
      </c>
      <c r="D42" s="966" t="str">
        <f>'II. Datos  Ganaderos'!AD25</f>
        <v>Novillitos</v>
      </c>
      <c r="E42" s="1068">
        <f>'II. Datos  Ganaderos'!AE25</f>
        <v>0</v>
      </c>
      <c r="M42" s="966" t="str">
        <f>'II. Datos  Ganaderos'!Q41</f>
        <v>SALDO MCal</v>
      </c>
      <c r="N42" s="675"/>
      <c r="O42" s="675"/>
      <c r="P42" s="675"/>
      <c r="Q42" s="1212">
        <f>'II. Datos  Ganaderos'!U41</f>
        <v>0</v>
      </c>
      <c r="Z42" s="1347" t="s">
        <v>1001</v>
      </c>
      <c r="AA42" s="1348">
        <f>+AB34</f>
        <v>0</v>
      </c>
      <c r="AB42" s="1203">
        <f>IF('VII. Impresión'!$BE$38=0,0,(('VII. Impresión'!AD34)/'VII. Impresión'!$BE$38))</f>
        <v>0</v>
      </c>
      <c r="AK42" s="926"/>
      <c r="AL42" s="608"/>
      <c r="AM42" s="608"/>
      <c r="AN42" s="1241"/>
      <c r="AO42" s="1242"/>
      <c r="AR42" s="926" t="str">
        <f>+'V. Indicadores'!L7</f>
        <v>Producción Carne Tambo (+ventas-compras(+/-)dif.inventario)</v>
      </c>
      <c r="AS42" s="612" t="str">
        <f>+'V. Indicadores'!M7</f>
        <v>kg/año</v>
      </c>
      <c r="AT42" s="1216">
        <f>+'V. Indicadores'!N7</f>
        <v>0</v>
      </c>
      <c r="AX42" s="1503" t="s">
        <v>329</v>
      </c>
      <c r="AY42" s="626"/>
      <c r="AZ42" s="1026"/>
      <c r="BC42" s="1016" t="str">
        <f>+'V. Indicadores'!T81</f>
        <v>Margen Bruto</v>
      </c>
      <c r="BD42" s="620" t="str">
        <f>+'V. Indicadores'!U81</f>
        <v>$/litro de leche vendida</v>
      </c>
      <c r="BE42" s="1115">
        <f>+'V. Indicadores'!V81</f>
        <v>0</v>
      </c>
      <c r="BL42" s="1395"/>
      <c r="BM42" s="1395"/>
      <c r="BN42" s="1395"/>
      <c r="BO42" s="1395"/>
      <c r="BP42" s="1395"/>
      <c r="BQ42" s="1395"/>
      <c r="BR42" s="1395"/>
      <c r="BS42" s="1395"/>
      <c r="BT42" s="1395"/>
      <c r="BU42" s="1395"/>
      <c r="CS42" s="1395" t="str">
        <f t="shared" si="10"/>
        <v>XXX</v>
      </c>
      <c r="CT42" s="1395">
        <f t="shared" si="11"/>
        <v>0</v>
      </c>
      <c r="CU42" s="1395">
        <f t="shared" si="12"/>
        <v>0</v>
      </c>
      <c r="CV42" s="1395">
        <f t="shared" si="13"/>
        <v>0</v>
      </c>
      <c r="DA42" s="1517"/>
      <c r="DB42" s="1507"/>
      <c r="DC42" s="1507" t="str">
        <f>'VII. Impresión'!CV3</f>
        <v>qq/ha</v>
      </c>
      <c r="DD42" s="1507" t="str">
        <f>'VII. Impresión'!CW3</f>
        <v>UTA/ha</v>
      </c>
      <c r="DE42" s="1507"/>
      <c r="DF42" s="1509"/>
      <c r="DI42" s="1520" t="s">
        <v>1002</v>
      </c>
      <c r="DK42" s="1509">
        <f>IF($DC$14=0,0,$AO$36/DC14)</f>
        <v>0</v>
      </c>
      <c r="DL42" s="1509"/>
      <c r="DM42" s="1508"/>
      <c r="DN42" s="1509"/>
    </row>
    <row r="43" spans="1:110" ht="16.5" customHeight="1">
      <c r="A43" s="1002" t="str">
        <f>'II. Datos  Ganaderos'!Z26</f>
        <v>     Vaquillas</v>
      </c>
      <c r="B43" s="1095">
        <f>'II. Datos  Ganaderos'!AA26</f>
        <v>0</v>
      </c>
      <c r="D43" s="966" t="str">
        <f>'II. Datos  Ganaderos'!AD26</f>
        <v>Vaquillas</v>
      </c>
      <c r="E43" s="1068">
        <f>'II. Datos  Ganaderos'!AE26</f>
        <v>0</v>
      </c>
      <c r="M43" s="1045" t="str">
        <f>'II. Datos  Ganaderos'!Q42</f>
        <v>Margen de seguridad</v>
      </c>
      <c r="N43" s="680"/>
      <c r="O43" s="680"/>
      <c r="P43" s="680"/>
      <c r="Q43" s="1048">
        <f>'II. Datos  Ganaderos'!U42</f>
        <v>0</v>
      </c>
      <c r="Z43" s="1347"/>
      <c r="AA43" s="1348"/>
      <c r="AB43" s="913"/>
      <c r="AK43" s="974" t="s">
        <v>679</v>
      </c>
      <c r="AL43" s="618"/>
      <c r="AM43" s="618"/>
      <c r="AN43" s="1241"/>
      <c r="AO43" s="1245">
        <f>+AO35-AO40</f>
        <v>0</v>
      </c>
      <c r="AR43" s="926" t="str">
        <f>+'V. Indicadores'!L8</f>
        <v>Ventas menos Compras Invernada</v>
      </c>
      <c r="AS43" s="612" t="str">
        <f>+'V. Indicadores'!M8</f>
        <v>kg/año</v>
      </c>
      <c r="AT43" s="1216">
        <f>+'V. Indicadores'!N8</f>
        <v>0</v>
      </c>
      <c r="AX43" s="926" t="str">
        <f>+'V. Indicadores'!T14</f>
        <v>Superf. Efectiva praderas / sup.efect.tambo</v>
      </c>
      <c r="AY43" s="612"/>
      <c r="AZ43" s="1025">
        <f>+'V. Indicadores'!V14</f>
        <v>0</v>
      </c>
      <c r="BC43" s="1116" t="s">
        <v>330</v>
      </c>
      <c r="BD43" s="625"/>
      <c r="BE43" s="1117"/>
      <c r="BL43" s="1395"/>
      <c r="BM43" s="1395"/>
      <c r="BN43" s="1395"/>
      <c r="BO43" s="1395"/>
      <c r="BP43" s="1395"/>
      <c r="BQ43" s="1395"/>
      <c r="BR43" s="1395"/>
      <c r="BS43" s="1395"/>
      <c r="BT43" s="1395"/>
      <c r="BU43" s="1395"/>
      <c r="CS43" s="1395" t="str">
        <f t="shared" si="10"/>
        <v>XXX</v>
      </c>
      <c r="CT43" s="1395">
        <f t="shared" si="11"/>
        <v>0</v>
      </c>
      <c r="CU43" s="1395">
        <f t="shared" si="12"/>
        <v>0</v>
      </c>
      <c r="CV43" s="1395">
        <f t="shared" si="13"/>
        <v>0</v>
      </c>
      <c r="DA43" s="1517" t="str">
        <f>'VII. Impresión'!CS4</f>
        <v>XXX</v>
      </c>
      <c r="DB43" s="1517">
        <f>'VII. Impresión'!CT4</f>
        <v>0</v>
      </c>
      <c r="DC43" s="1517">
        <f>'VII. Impresión'!CV4</f>
        <v>0</v>
      </c>
      <c r="DD43" s="1517">
        <f>'VII. Impresión'!CW4</f>
        <v>0</v>
      </c>
      <c r="DE43" s="1517"/>
      <c r="DF43" s="1509"/>
    </row>
    <row r="44" spans="1:113" ht="16.5" customHeight="1">
      <c r="A44" s="1002" t="str">
        <f>'II. Datos  Ganaderos'!Z27</f>
        <v>     .........</v>
      </c>
      <c r="B44" s="1095">
        <f>'II. Datos  Ganaderos'!AA27</f>
        <v>0</v>
      </c>
      <c r="D44" s="966" t="str">
        <f>'II. Datos  Ganaderos'!AD27</f>
        <v>Vacas</v>
      </c>
      <c r="E44" s="1068">
        <f>'II. Datos  Ganaderos'!AE27</f>
        <v>0</v>
      </c>
      <c r="M44" s="1049" t="str">
        <f>'II. Datos  Ganaderos'!Q43</f>
        <v>RESERVAS PROPIAS CONSUMIDAS</v>
      </c>
      <c r="N44" s="685" t="str">
        <f>'II. Datos  Ganaderos'!R43</f>
        <v>Silo Pack</v>
      </c>
      <c r="O44" s="686" t="str">
        <f>'II. Datos  Ganaderos'!S43</f>
        <v>Fardos</v>
      </c>
      <c r="P44" s="686" t="str">
        <f>'II. Datos  Ganaderos'!T43</f>
        <v>R. Moha/año</v>
      </c>
      <c r="Q44" s="1050" t="str">
        <f>'II. Datos  Ganaderos'!U43</f>
        <v>Rollos Alf./año</v>
      </c>
      <c r="Z44" s="1347" t="s">
        <v>1003</v>
      </c>
      <c r="AA44" s="1348">
        <f>+AB32+AB33+AB35</f>
        <v>0</v>
      </c>
      <c r="AB44" s="1203">
        <f>IF('VII. Impresión'!$BE$38=0,0,(('VII. Impresión'!AD33+'VII. Impresión'!AD32+'VII. Impresión'!AD35)/'VII. Impresión'!$BE$38))</f>
        <v>0</v>
      </c>
      <c r="AK44" s="966" t="s">
        <v>680</v>
      </c>
      <c r="AL44" s="618"/>
      <c r="AM44" s="618"/>
      <c r="AN44" s="1243">
        <f>'Información General'!Q40+'Información General'!AB61</f>
        <v>0</v>
      </c>
      <c r="AO44" s="1242"/>
      <c r="AR44" s="926" t="str">
        <f>+'V. Indicadores'!L9</f>
        <v>Diferencia de Inventario Invernada</v>
      </c>
      <c r="AS44" s="612" t="str">
        <f>+'V. Indicadores'!M9</f>
        <v>kg/año</v>
      </c>
      <c r="AT44" s="1216">
        <f>+'V. Indicadores'!N9</f>
        <v>0</v>
      </c>
      <c r="AX44" s="926" t="str">
        <f>+'V. Indicadores'!T15</f>
        <v>Receptividad</v>
      </c>
      <c r="AY44" s="612" t="str">
        <f>+'V. Indicadores'!U15</f>
        <v>EV/ha</v>
      </c>
      <c r="AZ44" s="1025">
        <f>+'V. Indicadores'!V15</f>
        <v>0</v>
      </c>
      <c r="BC44" s="1018" t="str">
        <f>+'V. Indicadores'!T83</f>
        <v>Costo Alimentación/cabeza</v>
      </c>
      <c r="BD44" s="617" t="str">
        <f>+'V. Indicadores'!U83</f>
        <v>$/cab.</v>
      </c>
      <c r="BE44" s="1019">
        <f>+'V. Indicadores'!V83</f>
        <v>0</v>
      </c>
      <c r="BL44" s="1395"/>
      <c r="BM44" s="1395"/>
      <c r="BN44" s="1395"/>
      <c r="BO44" s="1395"/>
      <c r="BP44" s="1395"/>
      <c r="BQ44" s="1395"/>
      <c r="BR44" s="1395"/>
      <c r="BS44" s="1395"/>
      <c r="BT44" s="1395"/>
      <c r="BU44" s="1395"/>
      <c r="DA44" s="1517" t="str">
        <f>'VII. Impresión'!CS5</f>
        <v>XXX</v>
      </c>
      <c r="DB44" s="1517">
        <f>'VII. Impresión'!CT5</f>
        <v>0</v>
      </c>
      <c r="DC44" s="1517">
        <f>'VII. Impresión'!CV5</f>
        <v>0</v>
      </c>
      <c r="DD44" s="1517">
        <f>'VII. Impresión'!CW5</f>
        <v>0</v>
      </c>
      <c r="DE44" s="1517"/>
      <c r="DF44" s="1509"/>
      <c r="DI44" s="1396" t="s">
        <v>1004</v>
      </c>
    </row>
    <row r="45" spans="1:117" ht="16.5" customHeight="1">
      <c r="A45" s="1002" t="str">
        <f>'II. Datos  Ganaderos'!Z28</f>
        <v>     .........</v>
      </c>
      <c r="B45" s="1095">
        <f>'II. Datos  Ganaderos'!AA28</f>
        <v>0</v>
      </c>
      <c r="D45" s="966" t="str">
        <f>'II. Datos  Ganaderos'!AD28</f>
        <v>     .........</v>
      </c>
      <c r="E45" s="1068">
        <f>'II. Datos  Ganaderos'!AE28</f>
        <v>0</v>
      </c>
      <c r="M45" s="1062" t="str">
        <f>'II. Datos  Ganaderos'!Q44</f>
        <v>     Vaca ordeño</v>
      </c>
      <c r="N45" s="687">
        <f>'II. Datos  Ganaderos'!R44</f>
        <v>0</v>
      </c>
      <c r="O45" s="687">
        <f>'II. Datos  Ganaderos'!S44</f>
        <v>0</v>
      </c>
      <c r="P45" s="687">
        <f>'II. Datos  Ganaderos'!T44</f>
        <v>0</v>
      </c>
      <c r="Q45" s="1067">
        <f>'II. Datos  Ganaderos'!U44</f>
        <v>0</v>
      </c>
      <c r="S45" s="1340"/>
      <c r="T45" s="1340"/>
      <c r="U45" s="1340"/>
      <c r="V45" s="1340"/>
      <c r="AK45" s="966"/>
      <c r="AL45" s="618"/>
      <c r="AM45" s="618"/>
      <c r="AN45" s="1243"/>
      <c r="AO45" s="1242"/>
      <c r="AR45" s="926" t="str">
        <f>+'V. Indicadores'!L10</f>
        <v>Producción Carne Invernada (+ventas-compras(+/-)dif.inventario)</v>
      </c>
      <c r="AS45" s="612" t="str">
        <f>+'V. Indicadores'!M10</f>
        <v>kg/año</v>
      </c>
      <c r="AT45" s="1216">
        <f>+'V. Indicadores'!N10</f>
        <v>0</v>
      </c>
      <c r="AX45" s="926" t="str">
        <f>+'V. Indicadores'!T16</f>
        <v>Carga Animal</v>
      </c>
      <c r="AY45" s="612" t="str">
        <f>+'V. Indicadores'!U16</f>
        <v>EV/ha</v>
      </c>
      <c r="AZ45" s="1025">
        <f>+'V. Indicadores'!V16</f>
        <v>0</v>
      </c>
      <c r="BC45" s="926" t="str">
        <f>+'V. Indicadores'!T84</f>
        <v>Costo Mano obra /cabeza</v>
      </c>
      <c r="BD45" s="612" t="str">
        <f>+'V. Indicadores'!U84</f>
        <v>$/cab.</v>
      </c>
      <c r="BE45" s="996">
        <f>+'V. Indicadores'!V84</f>
        <v>0</v>
      </c>
      <c r="BL45" s="1395"/>
      <c r="BM45" s="1395"/>
      <c r="BN45" s="1395"/>
      <c r="BO45" s="1395"/>
      <c r="BP45" s="1395"/>
      <c r="BQ45" s="1395"/>
      <c r="BR45" s="1395"/>
      <c r="BS45" s="1395"/>
      <c r="BT45" s="1395"/>
      <c r="BU45" s="1395"/>
      <c r="DA45" s="1517" t="str">
        <f>'VII. Impresión'!CS6</f>
        <v>XXX</v>
      </c>
      <c r="DB45" s="1517">
        <f>'VII. Impresión'!CT6</f>
        <v>0</v>
      </c>
      <c r="DC45" s="1517">
        <f>'VII. Impresión'!CV6</f>
        <v>0</v>
      </c>
      <c r="DD45" s="1517">
        <f>'VII. Impresión'!CW6</f>
        <v>0</v>
      </c>
      <c r="DE45" s="1517"/>
      <c r="DF45" s="1509"/>
      <c r="DI45" s="1395" t="str">
        <f>'VII. Impresión'!CQ16</f>
        <v>Cultivo</v>
      </c>
      <c r="DJ45" s="1504" t="str">
        <f>'VII. Impresión'!CR16</f>
        <v>Precio Venta</v>
      </c>
      <c r="DK45" s="1504" t="str">
        <f>'VII. Impresión'!CU16</f>
        <v>Fertilizantes</v>
      </c>
      <c r="DL45" s="1504" t="str">
        <f>'VII. Impresión'!CV16</f>
        <v>Ingreso Bruto</v>
      </c>
      <c r="DM45" s="1504" t="s">
        <v>266</v>
      </c>
    </row>
    <row r="46" spans="1:117" ht="16.5" customHeight="1">
      <c r="A46" s="1002" t="str">
        <f>'II. Datos  Ganaderos'!Z29</f>
        <v>     Toros</v>
      </c>
      <c r="B46" s="1095">
        <f>'II. Datos  Ganaderos'!AA29</f>
        <v>0</v>
      </c>
      <c r="D46" s="966" t="str">
        <f>'II. Datos  Ganaderos'!AD29</f>
        <v>Entrada Capitalización</v>
      </c>
      <c r="E46" s="1068">
        <f>'II. Datos  Ganaderos'!AE29</f>
        <v>0</v>
      </c>
      <c r="M46" s="1064" t="str">
        <f>'II. Datos  Ganaderos'!Q46</f>
        <v>     Vaquillonas preñadas</v>
      </c>
      <c r="N46" s="683">
        <f>'II. Datos  Ganaderos'!R46</f>
        <v>0</v>
      </c>
      <c r="O46" s="683">
        <f>'II. Datos  Ganaderos'!S46</f>
        <v>0</v>
      </c>
      <c r="P46" s="683">
        <f>'II. Datos  Ganaderos'!T46</f>
        <v>0</v>
      </c>
      <c r="Q46" s="1068">
        <f>'II. Datos  Ganaderos'!U46</f>
        <v>0</v>
      </c>
      <c r="S46" s="608"/>
      <c r="T46" s="608"/>
      <c r="U46" s="608"/>
      <c r="V46" s="608"/>
      <c r="Z46" s="1180" t="s">
        <v>1005</v>
      </c>
      <c r="AA46" s="529"/>
      <c r="AB46" s="914"/>
      <c r="AC46" s="944"/>
      <c r="AD46" s="914"/>
      <c r="AE46" s="920"/>
      <c r="AK46" s="974" t="s">
        <v>1006</v>
      </c>
      <c r="AL46" s="618"/>
      <c r="AM46" s="618"/>
      <c r="AN46" s="1241"/>
      <c r="AO46" s="1245">
        <f>AO43-AN44</f>
        <v>0</v>
      </c>
      <c r="AR46" s="926" t="str">
        <f>+'V. Indicadores'!L11</f>
        <v>Valor Bruto de la Producción(VBP)</v>
      </c>
      <c r="AS46" s="612" t="str">
        <f>+'V. Indicadores'!M11</f>
        <v>$/año</v>
      </c>
      <c r="AT46" s="1216">
        <f>+'V. Indicadores'!N11</f>
        <v>0</v>
      </c>
      <c r="AX46" s="926" t="str">
        <f>+'V. Indicadores'!T17</f>
        <v>Carga Animal</v>
      </c>
      <c r="AY46" s="612" t="str">
        <f>+'V. Indicadores'!U17</f>
        <v>VT./ha</v>
      </c>
      <c r="AZ46" s="1025">
        <f>+'V. Indicadores'!V17</f>
        <v>0</v>
      </c>
      <c r="BC46" s="926" t="str">
        <f>+'V. Indicadores'!T85</f>
        <v>Costo Forrajes+Grano H.+Reservas/cabeza</v>
      </c>
      <c r="BD46" s="612" t="str">
        <f>+'V. Indicadores'!U85</f>
        <v>$/cab.</v>
      </c>
      <c r="BE46" s="996">
        <f>+'V. Indicadores'!V85</f>
        <v>0</v>
      </c>
      <c r="BL46" s="1395"/>
      <c r="BM46" s="1395"/>
      <c r="BN46" s="1395"/>
      <c r="BO46" s="1395"/>
      <c r="BP46" s="1395"/>
      <c r="BQ46" s="1395"/>
      <c r="BR46" s="1395"/>
      <c r="BS46" s="1395"/>
      <c r="BT46" s="1395"/>
      <c r="BU46" s="1395"/>
      <c r="CS46" s="1507" t="s">
        <v>718</v>
      </c>
      <c r="CT46" s="1510">
        <f>SUM(CT35:CT43)</f>
        <v>0</v>
      </c>
      <c r="CU46" s="1510">
        <f>SUM(CU35:CU43)</f>
        <v>0</v>
      </c>
      <c r="CV46" s="1510">
        <f>SUM(CV35:CV43)</f>
        <v>0</v>
      </c>
      <c r="DA46" s="1517" t="str">
        <f>'VII. Impresión'!CS7</f>
        <v>XXX</v>
      </c>
      <c r="DB46" s="1517">
        <f>'VII. Impresión'!CT7</f>
        <v>0</v>
      </c>
      <c r="DC46" s="1517">
        <f>'VII. Impresión'!CV7</f>
        <v>0</v>
      </c>
      <c r="DD46" s="1517">
        <f>'VII. Impresión'!CW7</f>
        <v>0</v>
      </c>
      <c r="DE46" s="1517"/>
      <c r="DJ46" s="1504" t="str">
        <f>'VII. Impresión'!CR17</f>
        <v>$/qq</v>
      </c>
      <c r="DK46" s="1504" t="str">
        <f>'VII. Impresión'!CU17</f>
        <v>$/ha</v>
      </c>
      <c r="DL46" s="1504" t="str">
        <f>'VII. Impresión'!CV17</f>
        <v>$/ha</v>
      </c>
      <c r="DM46" s="1515" t="s">
        <v>511</v>
      </c>
    </row>
    <row r="47" spans="1:117" ht="16.5" customHeight="1">
      <c r="A47" s="1002" t="str">
        <f>'II. Datos  Ganaderos'!Z30</f>
        <v>     Terneras</v>
      </c>
      <c r="B47" s="1095">
        <f>'II. Datos  Ganaderos'!AA30</f>
        <v>0</v>
      </c>
      <c r="D47" s="966" t="str">
        <f>'II. Datos  Ganaderos'!AD30</f>
        <v>Novillos</v>
      </c>
      <c r="E47" s="1068">
        <f>'II. Datos  Ganaderos'!AE30</f>
        <v>0</v>
      </c>
      <c r="M47" s="1064" t="str">
        <f>'II. Datos  Ganaderos'!Q47</f>
        <v>     Terneros/as &lt; 1 año</v>
      </c>
      <c r="N47" s="683">
        <f>'II. Datos  Ganaderos'!R47</f>
        <v>0</v>
      </c>
      <c r="O47" s="683">
        <f>'II. Datos  Ganaderos'!S47</f>
        <v>0</v>
      </c>
      <c r="P47" s="683">
        <f>'II. Datos  Ganaderos'!T47</f>
        <v>0</v>
      </c>
      <c r="Q47" s="1068">
        <f>'II. Datos  Ganaderos'!U47</f>
        <v>0</v>
      </c>
      <c r="S47" s="608"/>
      <c r="T47" s="635"/>
      <c r="U47" s="635"/>
      <c r="V47" s="635"/>
      <c r="Z47" s="529"/>
      <c r="AA47" s="529"/>
      <c r="AB47" s="529"/>
      <c r="AC47" s="529"/>
      <c r="AD47" s="529"/>
      <c r="AE47" s="914"/>
      <c r="AK47" s="926"/>
      <c r="AL47" s="608"/>
      <c r="AM47" s="608"/>
      <c r="AN47" s="1241"/>
      <c r="AO47" s="1242"/>
      <c r="AR47" s="926" t="str">
        <f>+'V. Indicadores'!L12</f>
        <v>VBP Tambo</v>
      </c>
      <c r="AS47" s="612" t="str">
        <f>+'V. Indicadores'!M12</f>
        <v>$/año</v>
      </c>
      <c r="AT47" s="1216">
        <f>+'V. Indicadores'!N12</f>
        <v>0</v>
      </c>
      <c r="AX47" s="926" t="str">
        <f>+'V. Indicadores'!T19</f>
        <v>Rel. VO/VT</v>
      </c>
      <c r="AY47" s="612" t="str">
        <f>+'V. Indicadores'!U19</f>
        <v>%</v>
      </c>
      <c r="AZ47" s="1006">
        <f>+'V. Indicadores'!V19</f>
        <v>0</v>
      </c>
      <c r="BC47" s="926" t="str">
        <f>+'V. Indicadores'!T86</f>
        <v>Costo Concentrados/cabeza</v>
      </c>
      <c r="BD47" s="612" t="str">
        <f>+'V. Indicadores'!U86</f>
        <v>$/cab.</v>
      </c>
      <c r="BE47" s="996">
        <f>+'V. Indicadores'!V86</f>
        <v>0</v>
      </c>
      <c r="BL47" s="1395"/>
      <c r="BM47" s="1395"/>
      <c r="BN47" s="1395"/>
      <c r="BO47" s="1395"/>
      <c r="BP47" s="1395"/>
      <c r="BQ47" s="1395"/>
      <c r="BR47" s="1395"/>
      <c r="BS47" s="1395"/>
      <c r="BT47" s="1395"/>
      <c r="BU47" s="1395"/>
      <c r="DA47" s="1517" t="str">
        <f>'VII. Impresión'!CS8</f>
        <v>XXX</v>
      </c>
      <c r="DB47" s="1517">
        <f>'VII. Impresión'!CT8</f>
        <v>0</v>
      </c>
      <c r="DC47" s="1517">
        <f>'VII. Impresión'!CV8</f>
        <v>0</v>
      </c>
      <c r="DD47" s="1517">
        <f>'VII. Impresión'!CW8</f>
        <v>0</v>
      </c>
      <c r="DE47" s="1517"/>
      <c r="DI47" s="1395" t="str">
        <f>'VII. Impresión'!CQ18</f>
        <v>XXX</v>
      </c>
      <c r="DJ47" s="1504">
        <f>'VII. Impresión'!CR18</f>
        <v>0</v>
      </c>
      <c r="DK47" s="1504">
        <f>'VII. Impresión'!CU18</f>
        <v>0</v>
      </c>
      <c r="DL47" s="1504">
        <f>'VII. Impresión'!CV18</f>
        <v>0</v>
      </c>
      <c r="DM47" s="1395">
        <f>+'VII. Impresión'!CW18</f>
        <v>0</v>
      </c>
    </row>
    <row r="48" spans="1:117" ht="16.5" customHeight="1">
      <c r="A48" s="1002" t="str">
        <f>'II. Datos  Ganaderos'!Z31</f>
        <v>     Terneros</v>
      </c>
      <c r="B48" s="1095">
        <f>'II. Datos  Ganaderos'!AA31</f>
        <v>0</v>
      </c>
      <c r="D48" s="966" t="str">
        <f>'II. Datos  Ganaderos'!AD31</f>
        <v>Vaquillonas</v>
      </c>
      <c r="E48" s="1068">
        <f>'II. Datos  Ganaderos'!AE31</f>
        <v>0</v>
      </c>
      <c r="M48" s="1064"/>
      <c r="N48" s="683"/>
      <c r="O48" s="683"/>
      <c r="P48" s="683"/>
      <c r="Q48" s="1068"/>
      <c r="S48" s="608"/>
      <c r="T48" s="635"/>
      <c r="U48" s="635"/>
      <c r="V48" s="635"/>
      <c r="Z48" s="529"/>
      <c r="AA48" s="529"/>
      <c r="AB48" s="916" t="s">
        <v>1007</v>
      </c>
      <c r="AC48" s="944"/>
      <c r="AD48" s="914"/>
      <c r="AE48" s="914"/>
      <c r="AK48" s="966" t="s">
        <v>1008</v>
      </c>
      <c r="AL48" s="618"/>
      <c r="AM48" s="618" t="s">
        <v>1009</v>
      </c>
      <c r="AN48" s="1243">
        <f>'Información General'!AP3</f>
        <v>0</v>
      </c>
      <c r="AO48" s="1242"/>
      <c r="AR48" s="926" t="str">
        <f>+'V. Indicadores'!L13</f>
        <v>VBP Invernada</v>
      </c>
      <c r="AS48" s="612" t="str">
        <f>+'V. Indicadores'!M13</f>
        <v>$/año</v>
      </c>
      <c r="AT48" s="1216">
        <f>+'V. Indicadores'!N13</f>
        <v>0</v>
      </c>
      <c r="AX48" s="926" t="str">
        <f>+'V. Indicadores'!T20</f>
        <v>Descarte de vientres</v>
      </c>
      <c r="AY48" s="612" t="str">
        <f>+'V. Indicadores'!U20</f>
        <v>%</v>
      </c>
      <c r="AZ48" s="1006">
        <f>+'V. Indicadores'!V20</f>
        <v>0</v>
      </c>
      <c r="BC48" s="926" t="str">
        <f>+'V. Indicadores'!T87</f>
        <v>Gastos Directos/kg. carne prod.</v>
      </c>
      <c r="BD48" s="612" t="str">
        <f>+'V. Indicadores'!U87</f>
        <v>$/kg </v>
      </c>
      <c r="BE48" s="1020">
        <f>+'V. Indicadores'!V87</f>
        <v>0</v>
      </c>
      <c r="BL48" s="1395"/>
      <c r="BM48" s="1395"/>
      <c r="BN48" s="1395"/>
      <c r="BO48" s="1395"/>
      <c r="BP48" s="1395"/>
      <c r="BQ48" s="1395"/>
      <c r="BR48" s="1395"/>
      <c r="BS48" s="1395"/>
      <c r="BT48" s="1395"/>
      <c r="BU48" s="1395"/>
      <c r="DA48" s="1517" t="str">
        <f>'VII. Impresión'!CS9</f>
        <v>XXX</v>
      </c>
      <c r="DB48" s="1517">
        <f>'VII. Impresión'!CT9</f>
        <v>0</v>
      </c>
      <c r="DC48" s="1517">
        <f>'VII. Impresión'!CV9</f>
        <v>0</v>
      </c>
      <c r="DD48" s="1517">
        <f>'VII. Impresión'!CW9</f>
        <v>0</v>
      </c>
      <c r="DI48" s="1395" t="str">
        <f>'VII. Impresión'!CQ19</f>
        <v>XXX</v>
      </c>
      <c r="DJ48" s="1504">
        <f>'VII. Impresión'!CR19</f>
        <v>0</v>
      </c>
      <c r="DK48" s="1504">
        <f>'VII. Impresión'!CU19</f>
        <v>0</v>
      </c>
      <c r="DL48" s="1504">
        <f>'VII. Impresión'!CV19</f>
        <v>0</v>
      </c>
      <c r="DM48" s="1395">
        <f>+'VII. Impresión'!CW19</f>
        <v>0</v>
      </c>
    </row>
    <row r="49" spans="1:117" ht="16.5" customHeight="1">
      <c r="A49" s="1002" t="str">
        <f>'II. Datos  Ganaderos'!Z32</f>
        <v>     Equinos</v>
      </c>
      <c r="B49" s="1095">
        <f>'II. Datos  Ganaderos'!AA32</f>
        <v>0</v>
      </c>
      <c r="D49" s="966" t="str">
        <f>'II. Datos  Ganaderos'!AD32</f>
        <v>Vacas</v>
      </c>
      <c r="E49" s="1068">
        <f>'II. Datos  Ganaderos'!AE32</f>
        <v>0</v>
      </c>
      <c r="M49" s="1064" t="str">
        <f>'II. Datos  Ganaderos'!Q48</f>
        <v>Total concentrados (kg)</v>
      </c>
      <c r="N49" s="683">
        <f>'II. Datos  Ganaderos'!R48</f>
        <v>0</v>
      </c>
      <c r="O49" s="683">
        <f>'II. Datos  Ganaderos'!S48</f>
        <v>0</v>
      </c>
      <c r="P49" s="683">
        <f>'II. Datos  Ganaderos'!T48</f>
        <v>0</v>
      </c>
      <c r="Q49" s="1068">
        <f>'II. Datos  Ganaderos'!U48</f>
        <v>0</v>
      </c>
      <c r="S49" s="608"/>
      <c r="T49" s="608"/>
      <c r="U49" s="608"/>
      <c r="V49" s="608"/>
      <c r="Z49" s="908" t="s">
        <v>1010</v>
      </c>
      <c r="AA49" s="909"/>
      <c r="AB49" s="916">
        <f>+'VII. Impresión'!AD36</f>
        <v>0</v>
      </c>
      <c r="AC49" s="944"/>
      <c r="AD49" s="914"/>
      <c r="AE49" s="914"/>
      <c r="AK49" s="1002" t="s">
        <v>1011</v>
      </c>
      <c r="AL49" s="618"/>
      <c r="AM49" s="618"/>
      <c r="AN49" s="1243">
        <f>'Información General'!AP9</f>
        <v>0</v>
      </c>
      <c r="AO49" s="1242"/>
      <c r="AR49" s="926" t="str">
        <f>+'V. Indicadores'!L14</f>
        <v>VBP Agrícola</v>
      </c>
      <c r="AS49" s="612" t="str">
        <f>+'V. Indicadores'!M14</f>
        <v>$/año</v>
      </c>
      <c r="AT49" s="1216">
        <f>+'V. Indicadores'!N14</f>
        <v>0</v>
      </c>
      <c r="AX49" s="926" t="str">
        <f>+'V. Indicadores'!T21</f>
        <v>Tasa de extracción calc. (sobre kg)</v>
      </c>
      <c r="AY49" s="612" t="str">
        <f>+'V. Indicadores'!U21</f>
        <v>%</v>
      </c>
      <c r="AZ49" s="1006">
        <f>+'V. Indicadores'!V21</f>
        <v>0</v>
      </c>
      <c r="BC49" s="926" t="str">
        <f>+'V. Indicadores'!T88</f>
        <v>Relación compra/venta</v>
      </c>
      <c r="BD49" s="612" t="str">
        <f>+'V. Indicadores'!U88</f>
        <v>$/$</v>
      </c>
      <c r="BE49" s="1020">
        <f>+'V. Indicadores'!V88</f>
        <v>0</v>
      </c>
      <c r="BL49" s="1395"/>
      <c r="BM49" s="1395"/>
      <c r="BN49" s="1395"/>
      <c r="BO49" s="1395"/>
      <c r="BP49" s="1395"/>
      <c r="BQ49" s="1395"/>
      <c r="BR49" s="1395"/>
      <c r="BS49" s="1395"/>
      <c r="BT49" s="1395"/>
      <c r="BU49" s="1395"/>
      <c r="CS49" s="1395" t="s">
        <v>1012</v>
      </c>
      <c r="DA49" s="1517" t="str">
        <f>'VII. Impresión'!CS10</f>
        <v>XXX</v>
      </c>
      <c r="DB49" s="1517">
        <f>'VII. Impresión'!CT10</f>
        <v>0</v>
      </c>
      <c r="DC49" s="1517">
        <f>'VII. Impresión'!CV10</f>
        <v>0</v>
      </c>
      <c r="DD49" s="1517">
        <f>'VII. Impresión'!CW10</f>
        <v>0</v>
      </c>
      <c r="DI49" s="1395" t="str">
        <f>'VII. Impresión'!CQ20</f>
        <v>XXX</v>
      </c>
      <c r="DJ49" s="1504">
        <f>'VII. Impresión'!CR20</f>
        <v>0</v>
      </c>
      <c r="DK49" s="1504">
        <f>'VII. Impresión'!CU20</f>
        <v>0</v>
      </c>
      <c r="DL49" s="1504">
        <f>'VII. Impresión'!CV20</f>
        <v>0</v>
      </c>
      <c r="DM49" s="1395">
        <f>+'VII. Impresión'!CW20</f>
        <v>0</v>
      </c>
    </row>
    <row r="50" spans="1:117" ht="16.5" customHeight="1">
      <c r="A50" s="1002" t="str">
        <f>'II. Datos  Ganaderos'!Z33</f>
        <v>     Otros</v>
      </c>
      <c r="B50" s="1095">
        <f>'II. Datos  Ganaderos'!AA33</f>
        <v>0</v>
      </c>
      <c r="D50" s="966"/>
      <c r="E50" s="1068">
        <f>'II. Datos  Ganaderos'!AE33</f>
        <v>0</v>
      </c>
      <c r="M50" s="1064" t="str">
        <f>'II. Datos  Ganaderos'!Q49</f>
        <v>Otra categoria de tambo</v>
      </c>
      <c r="N50" s="683">
        <f>'II. Datos  Ganaderos'!R49</f>
        <v>0</v>
      </c>
      <c r="O50" s="683">
        <f>'II. Datos  Ganaderos'!S49</f>
        <v>0</v>
      </c>
      <c r="P50" s="683">
        <f>'II. Datos  Ganaderos'!T49</f>
        <v>0</v>
      </c>
      <c r="Q50" s="1068">
        <f>'II. Datos  Ganaderos'!U49</f>
        <v>0</v>
      </c>
      <c r="Z50" s="910" t="s">
        <v>1013</v>
      </c>
      <c r="AA50" s="529"/>
      <c r="AB50" s="917">
        <f>+IF('V. Indicadores'!N3=0,0,((('VII. Impresión'!AO40-'Información General'!AL9-'Información General'!AL11-'Información General'!AL10)*('V. Indicadores'!D26/'V. Indicadores'!D16))/'V. Indicadores'!N3))</f>
        <v>0</v>
      </c>
      <c r="AC50" s="944"/>
      <c r="AD50" s="914"/>
      <c r="AE50" s="914"/>
      <c r="AK50" s="1002"/>
      <c r="AL50" s="618"/>
      <c r="AM50" s="618"/>
      <c r="AN50" s="1243"/>
      <c r="AO50" s="1242"/>
      <c r="AR50" s="926" t="str">
        <f>+'V. Indicadores'!L15</f>
        <v>Costos Directos Tambo</v>
      </c>
      <c r="AS50" s="612" t="str">
        <f>+'V. Indicadores'!M15</f>
        <v>$/año</v>
      </c>
      <c r="AT50" s="1216">
        <f>+'V. Indicadores'!N15</f>
        <v>0</v>
      </c>
      <c r="AX50" s="926" t="str">
        <f>+'V. Indicadores'!T22</f>
        <v>Mortandad  de jóvenes</v>
      </c>
      <c r="AY50" s="612" t="str">
        <f>+'V. Indicadores'!U22</f>
        <v>%</v>
      </c>
      <c r="AZ50" s="1006">
        <f>+'V. Indicadores'!V22</f>
        <v>0</v>
      </c>
      <c r="BC50" s="926" t="str">
        <f>+'V. Indicadores'!T89</f>
        <v>Precio Venta hacienda propia</v>
      </c>
      <c r="BD50" s="612" t="str">
        <f>+'V. Indicadores'!U89</f>
        <v>$/kg</v>
      </c>
      <c r="BE50" s="1020">
        <f>+'V. Indicadores'!V89</f>
        <v>0</v>
      </c>
      <c r="BL50" s="1395"/>
      <c r="BM50" s="1395"/>
      <c r="BN50" s="1395"/>
      <c r="BO50" s="1395"/>
      <c r="BP50" s="1395"/>
      <c r="BQ50" s="1395"/>
      <c r="BR50" s="1395"/>
      <c r="BS50" s="1395"/>
      <c r="BT50" s="1395"/>
      <c r="BU50" s="1395"/>
      <c r="DA50" s="1517" t="str">
        <f>'VII. Impresión'!CS11</f>
        <v>XXX</v>
      </c>
      <c r="DB50" s="1517">
        <f>'VII. Impresión'!CT11</f>
        <v>0</v>
      </c>
      <c r="DC50" s="1517">
        <f>'VII. Impresión'!CV11</f>
        <v>0</v>
      </c>
      <c r="DD50" s="1517">
        <f>'VII. Impresión'!CW11</f>
        <v>0</v>
      </c>
      <c r="DI50" s="1395" t="str">
        <f>'VII. Impresión'!CQ21</f>
        <v>XXX</v>
      </c>
      <c r="DJ50" s="1504">
        <f>'VII. Impresión'!CR21</f>
        <v>0</v>
      </c>
      <c r="DK50" s="1504">
        <f>'VII. Impresión'!CU21</f>
        <v>0</v>
      </c>
      <c r="DL50" s="1504">
        <f>'VII. Impresión'!CV21</f>
        <v>0</v>
      </c>
      <c r="DM50" s="1395">
        <f>+'VII. Impresión'!CW21</f>
        <v>0</v>
      </c>
    </row>
    <row r="51" spans="1:117" ht="16.5" customHeight="1">
      <c r="A51" s="1046" t="s">
        <v>410</v>
      </c>
      <c r="B51" s="1096">
        <f>'II. Datos  Ganaderos'!AA34</f>
        <v>0</v>
      </c>
      <c r="D51" s="1046" t="s">
        <v>410</v>
      </c>
      <c r="E51" s="1096">
        <f>'II. Datos  Ganaderos'!AE34</f>
        <v>0</v>
      </c>
      <c r="M51" s="1069" t="str">
        <f>'II. Datos  Ganaderos'!Q50</f>
        <v>Total rollos/año</v>
      </c>
      <c r="N51" s="1070">
        <f>'II. Datos  Ganaderos'!R50</f>
        <v>0</v>
      </c>
      <c r="O51" s="1070">
        <f>'II. Datos  Ganaderos'!S50</f>
        <v>0</v>
      </c>
      <c r="P51" s="1070">
        <f>'II. Datos  Ganaderos'!T50</f>
        <v>0</v>
      </c>
      <c r="Q51" s="1071">
        <f>'II. Datos  Ganaderos'!U50</f>
        <v>0</v>
      </c>
      <c r="Z51" s="910" t="s">
        <v>1014</v>
      </c>
      <c r="AA51" s="529"/>
      <c r="AB51" s="917">
        <f>+IF('V. Indicadores'!N3=0,0,((('Información General'!AL10)*('V. Indicadores'!D26/'V. Indicadores'!D16))/'V. Indicadores'!N3))</f>
        <v>0</v>
      </c>
      <c r="AC51" s="944"/>
      <c r="AD51" s="914"/>
      <c r="AE51" s="914"/>
      <c r="AK51" s="974" t="s">
        <v>1015</v>
      </c>
      <c r="AL51" s="1237"/>
      <c r="AM51" s="1237"/>
      <c r="AN51" s="1246"/>
      <c r="AO51" s="1245">
        <f>AO46+AN49-AN48</f>
        <v>0</v>
      </c>
      <c r="AR51" s="926" t="str">
        <f>+'V. Indicadores'!L16</f>
        <v>Costos Directos Invernada</v>
      </c>
      <c r="AS51" s="612" t="str">
        <f>+'V. Indicadores'!M16</f>
        <v>$/año</v>
      </c>
      <c r="AT51" s="1216">
        <f>+'V. Indicadores'!N16</f>
        <v>0</v>
      </c>
      <c r="AX51" s="926" t="str">
        <f>+'V. Indicadores'!T23</f>
        <v>Mortandad  de adultos</v>
      </c>
      <c r="AY51" s="612" t="str">
        <f>+'V. Indicadores'!U23</f>
        <v>%</v>
      </c>
      <c r="AZ51" s="1006">
        <f>+'V. Indicadores'!V23</f>
        <v>0</v>
      </c>
      <c r="BC51" s="926" t="str">
        <f>+'V. Indicadores'!T90</f>
        <v>Precio Venta hacienda capitalización</v>
      </c>
      <c r="BD51" s="612" t="str">
        <f>+'V. Indicadores'!U90</f>
        <v>$/kg</v>
      </c>
      <c r="BE51" s="1020">
        <f>+'V. Indicadores'!V90</f>
        <v>0</v>
      </c>
      <c r="BL51" s="1395"/>
      <c r="BM51" s="1395"/>
      <c r="BN51" s="1395"/>
      <c r="BO51" s="1395"/>
      <c r="BP51" s="1395"/>
      <c r="BQ51" s="1395"/>
      <c r="BR51" s="1395"/>
      <c r="BS51" s="1395"/>
      <c r="BT51" s="1395"/>
      <c r="BU51" s="1395"/>
      <c r="DA51" s="1517" t="str">
        <f>'VII. Impresión'!CS12</f>
        <v>XXX</v>
      </c>
      <c r="DB51" s="1517">
        <f>'VII. Impresión'!CT12</f>
        <v>0</v>
      </c>
      <c r="DC51" s="1517">
        <f>'VII. Impresión'!CV12</f>
        <v>0</v>
      </c>
      <c r="DD51" s="1517">
        <f>'VII. Impresión'!CW12</f>
        <v>0</v>
      </c>
      <c r="DI51" s="1395" t="str">
        <f>'VII. Impresión'!CQ22</f>
        <v>XXX</v>
      </c>
      <c r="DJ51" s="1504">
        <f>'VII. Impresión'!CR22</f>
        <v>0</v>
      </c>
      <c r="DK51" s="1504">
        <f>'VII. Impresión'!CU22</f>
        <v>0</v>
      </c>
      <c r="DL51" s="1504">
        <f>'VII. Impresión'!CV22</f>
        <v>0</v>
      </c>
      <c r="DM51" s="1395">
        <f>+'VII. Impresión'!CW22</f>
        <v>0</v>
      </c>
    </row>
    <row r="52" spans="1:117" ht="16.5" customHeight="1">
      <c r="A52" s="1000" t="s">
        <v>475</v>
      </c>
      <c r="B52" s="1095">
        <f>'II. Datos  Ganaderos'!AC34</f>
        <v>0</v>
      </c>
      <c r="D52" s="1000" t="s">
        <v>475</v>
      </c>
      <c r="E52" s="1095">
        <f>'II. Datos  Ganaderos'!AE35</f>
        <v>0</v>
      </c>
      <c r="M52" s="1049" t="str">
        <f>'II. Datos  Ganaderos'!Q51</f>
        <v>Silo (ha-año)</v>
      </c>
      <c r="N52" s="688"/>
      <c r="O52" s="688"/>
      <c r="P52" s="688"/>
      <c r="Q52" s="1050">
        <f>'II. Datos  Ganaderos'!U51</f>
        <v>0</v>
      </c>
      <c r="Z52" s="910" t="s">
        <v>1016</v>
      </c>
      <c r="AA52" s="529"/>
      <c r="AB52" s="917">
        <f>+IF('V. Indicadores'!N3=0,0,(('VII. Impresión'!AN48*('V. Indicadores'!D26/'V. Indicadores'!D16))/'V. Indicadores'!N3))</f>
        <v>0</v>
      </c>
      <c r="AC52" s="944"/>
      <c r="AD52" s="914"/>
      <c r="AE52" s="914"/>
      <c r="AK52" s="966" t="s">
        <v>297</v>
      </c>
      <c r="AL52" s="618"/>
      <c r="AM52" s="618"/>
      <c r="AN52" s="618"/>
      <c r="AO52" s="967"/>
      <c r="AR52" s="926" t="str">
        <f>+'V. Indicadores'!L17</f>
        <v>Gastos Directos Agricultura</v>
      </c>
      <c r="AS52" s="612" t="str">
        <f>+'V. Indicadores'!M17</f>
        <v>$/año</v>
      </c>
      <c r="AT52" s="1216">
        <f>+'V. Indicadores'!N17</f>
        <v>0</v>
      </c>
      <c r="AX52" s="926" t="str">
        <f>+'V. Indicadores'!T24</f>
        <v>Porcentaje pariciones</v>
      </c>
      <c r="AY52" s="612" t="str">
        <f>+'V. Indicadores'!U24</f>
        <v>%</v>
      </c>
      <c r="AZ52" s="1006">
        <f>+'V. Indicadores'!V24</f>
        <v>0</v>
      </c>
      <c r="BC52" s="926" t="str">
        <f>+'V. Indicadores'!T91</f>
        <v>Margen Bruto</v>
      </c>
      <c r="BD52" s="612" t="str">
        <f>+'V. Indicadores'!U91</f>
        <v>$/ha</v>
      </c>
      <c r="BE52" s="996">
        <f>+'V. Indicadores'!V91</f>
        <v>0</v>
      </c>
      <c r="BL52" s="1395"/>
      <c r="BM52" s="1395"/>
      <c r="BN52" s="1395"/>
      <c r="BO52" s="1395"/>
      <c r="BP52" s="1395"/>
      <c r="BQ52" s="1395"/>
      <c r="BR52" s="1395"/>
      <c r="BS52" s="1395"/>
      <c r="BT52" s="1395"/>
      <c r="BU52" s="1395"/>
      <c r="DA52" s="1517"/>
      <c r="DB52" s="1520"/>
      <c r="DC52" s="1520"/>
      <c r="DD52" s="1507"/>
      <c r="DI52" s="1395" t="str">
        <f>'VII. Impresión'!CQ23</f>
        <v>XXX</v>
      </c>
      <c r="DJ52" s="1504">
        <f>'VII. Impresión'!CR23</f>
        <v>0</v>
      </c>
      <c r="DK52" s="1504">
        <f>'VII. Impresión'!CU23</f>
        <v>0</v>
      </c>
      <c r="DL52" s="1504">
        <f>'VII. Impresión'!CV23</f>
        <v>0</v>
      </c>
      <c r="DM52" s="1395">
        <f>+'VII. Impresión'!CW23</f>
        <v>0</v>
      </c>
    </row>
    <row r="53" spans="1:117" ht="16.5" customHeight="1">
      <c r="A53" s="1000" t="s">
        <v>477</v>
      </c>
      <c r="B53" s="1095">
        <f>'II. Datos  Ganaderos'!AB36</f>
        <v>0</v>
      </c>
      <c r="D53" s="1000" t="s">
        <v>477</v>
      </c>
      <c r="E53" s="1095">
        <f>'II. Datos  Ganaderos'!AF36</f>
        <v>0</v>
      </c>
      <c r="M53" s="1049" t="str">
        <f>'II. Datos  Ganaderos'!Q52</f>
        <v>Control confeccion rollos</v>
      </c>
      <c r="N53" s="688"/>
      <c r="O53" s="688"/>
      <c r="P53" s="688"/>
      <c r="Q53" s="1050" t="str">
        <f>'II. Datos  Ganaderos'!U52</f>
        <v>Cant. maxima</v>
      </c>
      <c r="Z53" s="910" t="s">
        <v>1017</v>
      </c>
      <c r="AA53" s="529"/>
      <c r="AB53" s="917">
        <f>+IF('V. Indicadores'!N3=0,0,(('IV. Resultados'!J15*('V. Indicadores'!$D$26/'V. Indicadores'!$D$16))/'V. Indicadores'!N3))</f>
        <v>0</v>
      </c>
      <c r="AC53" s="944"/>
      <c r="AD53" s="914"/>
      <c r="AE53" s="914"/>
      <c r="AK53" s="1003" t="s">
        <v>693</v>
      </c>
      <c r="AL53" s="684"/>
      <c r="AM53" s="684"/>
      <c r="AN53" s="607"/>
      <c r="AO53" s="1261">
        <f>IF(AN61=0,0,+AO51/AM61)</f>
        <v>0</v>
      </c>
      <c r="AR53" s="926" t="str">
        <f>+'V. Indicadores'!L18</f>
        <v>Gastos de Estructura</v>
      </c>
      <c r="AS53" s="612" t="str">
        <f>+'V. Indicadores'!M18</f>
        <v>$/año</v>
      </c>
      <c r="AT53" s="1216">
        <f>+'V. Indicadores'!N18</f>
        <v>0</v>
      </c>
      <c r="AX53" s="926" t="str">
        <f>+'V. Indicadores'!T25</f>
        <v>Intervalo entre partos</v>
      </c>
      <c r="AY53" s="612" t="str">
        <f>+'V. Indicadores'!U25</f>
        <v>meses</v>
      </c>
      <c r="AZ53" s="996">
        <f>+'V. Indicadores'!V25</f>
        <v>0</v>
      </c>
      <c r="BC53" s="926" t="str">
        <f>+'V. Indicadores'!T92</f>
        <v>Margen Bruto</v>
      </c>
      <c r="BD53" s="612" t="str">
        <f>+'V. Indicadores'!U92</f>
        <v>$/cab. </v>
      </c>
      <c r="BE53" s="996">
        <f>+'V. Indicadores'!V92</f>
        <v>0</v>
      </c>
      <c r="BL53" s="1395"/>
      <c r="BM53" s="1395"/>
      <c r="BN53" s="1395"/>
      <c r="BO53" s="1395"/>
      <c r="BP53" s="1395"/>
      <c r="BQ53" s="1395"/>
      <c r="BR53" s="1395"/>
      <c r="BS53" s="1395"/>
      <c r="BT53" s="1395"/>
      <c r="BU53" s="1395"/>
      <c r="DA53" s="1517"/>
      <c r="DI53" s="1395" t="str">
        <f>'VII. Impresión'!CQ24</f>
        <v>XXX</v>
      </c>
      <c r="DJ53" s="1504">
        <f>'VII. Impresión'!CR24</f>
        <v>0</v>
      </c>
      <c r="DK53" s="1504">
        <f>'VII. Impresión'!CU24</f>
        <v>0</v>
      </c>
      <c r="DL53" s="1504">
        <f>'VII. Impresión'!CV24</f>
        <v>0</v>
      </c>
      <c r="DM53" s="1395">
        <f>+'VII. Impresión'!CW24</f>
        <v>0</v>
      </c>
    </row>
    <row r="54" spans="1:117" ht="16.5" customHeight="1" thickBot="1">
      <c r="A54" s="1102" t="s">
        <v>481</v>
      </c>
      <c r="B54" s="1103">
        <f>'II. Datos  Ganaderos'!AC37</f>
        <v>0</v>
      </c>
      <c r="D54" s="1102" t="s">
        <v>481</v>
      </c>
      <c r="E54" s="1103">
        <f>'II. Datos  Ganaderos'!AG37</f>
        <v>0</v>
      </c>
      <c r="M54" s="1046" t="str">
        <f>'II. Datos  Ganaderos'!Q53</f>
        <v>Rollos moha</v>
      </c>
      <c r="N54" s="676"/>
      <c r="O54" s="676"/>
      <c r="P54" s="676" t="str">
        <f>'II. Datos  Ganaderos'!T53</f>
        <v>(rollos/año)</v>
      </c>
      <c r="Q54" s="1047">
        <f>'II. Datos  Ganaderos'!U53</f>
        <v>0</v>
      </c>
      <c r="Z54" s="910"/>
      <c r="AA54" s="529"/>
      <c r="AB54" s="917"/>
      <c r="AC54" s="944"/>
      <c r="AD54" s="914"/>
      <c r="AE54" s="914"/>
      <c r="AK54" s="1238" t="s">
        <v>694</v>
      </c>
      <c r="AL54" s="1239"/>
      <c r="AM54" s="1239"/>
      <c r="AN54" s="1247"/>
      <c r="AO54" s="1262">
        <f>IF(AM61=0,0,+AO51/(AM61-AM57))</f>
        <v>0</v>
      </c>
      <c r="AR54" s="926" t="str">
        <f>+'V. Indicadores'!L19</f>
        <v>Amortizaciones totales</v>
      </c>
      <c r="AS54" s="612" t="str">
        <f>+'V. Indicadores'!M19</f>
        <v>$/año</v>
      </c>
      <c r="AT54" s="1216">
        <f>+'V. Indicadores'!N19</f>
        <v>0</v>
      </c>
      <c r="AX54" s="926" t="str">
        <f>+'V. Indicadores'!T26</f>
        <v>Duración media de lactancia</v>
      </c>
      <c r="AY54" s="612" t="str">
        <f>+'V. Indicadores'!U26</f>
        <v>días</v>
      </c>
      <c r="AZ54" s="996">
        <f>+'V. Indicadores'!V26</f>
        <v>0</v>
      </c>
      <c r="BC54" s="1016" t="str">
        <f>+'V. Indicadores'!T93</f>
        <v>Margen Bruto</v>
      </c>
      <c r="BD54" s="620" t="str">
        <f>+'V. Indicadores'!U93</f>
        <v>$/kg. producido</v>
      </c>
      <c r="BE54" s="1115">
        <f>+'V. Indicadores'!V93</f>
        <v>0</v>
      </c>
      <c r="BL54" s="1395"/>
      <c r="BM54" s="1395"/>
      <c r="BN54" s="1395"/>
      <c r="BO54" s="1395"/>
      <c r="BP54" s="1395"/>
      <c r="BQ54" s="1395"/>
      <c r="BR54" s="1395"/>
      <c r="BS54" s="1395"/>
      <c r="BT54" s="1395"/>
      <c r="BU54" s="1395"/>
      <c r="DA54" s="1517"/>
      <c r="DB54" s="1509"/>
      <c r="DC54" s="1509"/>
      <c r="DD54" s="1509"/>
      <c r="DI54" s="1395" t="str">
        <f>'VII. Impresión'!CQ25</f>
        <v>XXX</v>
      </c>
      <c r="DJ54" s="1504">
        <f>'VII. Impresión'!CR25</f>
        <v>0</v>
      </c>
      <c r="DK54" s="1504">
        <f>'VII. Impresión'!CU25</f>
        <v>0</v>
      </c>
      <c r="DL54" s="1504">
        <f>'VII. Impresión'!CV25</f>
        <v>0</v>
      </c>
      <c r="DM54" s="1395">
        <f>+'VII. Impresión'!CW25</f>
        <v>0</v>
      </c>
    </row>
    <row r="55" spans="13:117" ht="16.5" customHeight="1" thickBot="1">
      <c r="M55" s="966" t="str">
        <f>'II. Datos  Ganaderos'!Q54</f>
        <v>Rollos alfalfa</v>
      </c>
      <c r="N55" s="675"/>
      <c r="O55" s="675"/>
      <c r="P55" s="675" t="str">
        <f>'II. Datos  Ganaderos'!T54</f>
        <v>(rollos/año)</v>
      </c>
      <c r="Q55" s="1037">
        <f>'II. Datos  Ganaderos'!U54</f>
        <v>0</v>
      </c>
      <c r="Z55" s="910" t="s">
        <v>1018</v>
      </c>
      <c r="AA55" s="529"/>
      <c r="AB55" s="917">
        <f>+IF('V. Indicadores'!N3=0,0,(('IV. Resultados'!K43*('V. Indicadores'!$D$26/'V. Indicadores'!$D$16))/'V. Indicadores'!N3))</f>
        <v>0</v>
      </c>
      <c r="AC55" s="944"/>
      <c r="AD55" s="914"/>
      <c r="AE55" s="914"/>
      <c r="AK55" s="608"/>
      <c r="AL55" s="608"/>
      <c r="AM55" s="946"/>
      <c r="AN55" s="946"/>
      <c r="AO55" s="946"/>
      <c r="AR55" s="926" t="str">
        <f>+'V. Indicadores'!L20</f>
        <v>Intereses sobre Activos</v>
      </c>
      <c r="AS55" s="612" t="str">
        <f>+'V. Indicadores'!M20</f>
        <v>$/año</v>
      </c>
      <c r="AT55" s="1216">
        <f>+'V. Indicadores'!N20</f>
        <v>0</v>
      </c>
      <c r="AX55" s="927" t="str">
        <f>+'V. Indicadores'!T27</f>
        <v>Edad entore vaquillonas</v>
      </c>
      <c r="AY55" s="1009" t="str">
        <f>+'V. Indicadores'!U27</f>
        <v>meses</v>
      </c>
      <c r="AZ55" s="997">
        <f>+'V. Indicadores'!V27</f>
        <v>0</v>
      </c>
      <c r="BL55" s="1395"/>
      <c r="BM55" s="1395"/>
      <c r="BN55" s="1395"/>
      <c r="BO55" s="1395"/>
      <c r="BP55" s="1395"/>
      <c r="BQ55" s="1395"/>
      <c r="BR55" s="1395"/>
      <c r="BS55" s="1395"/>
      <c r="BT55" s="1395"/>
      <c r="BU55" s="1395"/>
      <c r="DA55" s="1517"/>
      <c r="DB55" s="1517"/>
      <c r="DC55" s="1517"/>
      <c r="DD55" s="1517"/>
      <c r="DI55" s="1395" t="str">
        <f>'VII. Impresión'!CQ26</f>
        <v>XXX</v>
      </c>
      <c r="DJ55" s="1504">
        <f>'VII. Impresión'!CR26</f>
        <v>0</v>
      </c>
      <c r="DK55" s="1504">
        <f>'VII. Impresión'!CU26</f>
        <v>0</v>
      </c>
      <c r="DL55" s="1504">
        <f>'VII. Impresión'!CV26</f>
        <v>0</v>
      </c>
      <c r="DM55" s="1395">
        <f>+'VII. Impresión'!CW26</f>
        <v>0</v>
      </c>
    </row>
    <row r="56" spans="13:108" ht="16.5" customHeight="1" thickBot="1">
      <c r="M56" s="968" t="str">
        <f>'II. Datos  Ganaderos'!Q55</f>
        <v>Alfalfa para rollos </v>
      </c>
      <c r="N56" s="969"/>
      <c r="O56" s="969"/>
      <c r="P56" s="969" t="str">
        <f>'II. Datos  Ganaderos'!T55</f>
        <v>%</v>
      </c>
      <c r="Q56" s="1051">
        <f>'II. Datos  Ganaderos'!U55</f>
        <v>0</v>
      </c>
      <c r="Z56" s="910"/>
      <c r="AA56" s="529"/>
      <c r="AB56" s="917"/>
      <c r="AC56" s="914"/>
      <c r="AD56" s="529"/>
      <c r="AE56" s="914"/>
      <c r="AK56" s="692" t="s">
        <v>1020</v>
      </c>
      <c r="AL56" s="693"/>
      <c r="AM56" s="945"/>
      <c r="AN56" s="945"/>
      <c r="AO56" s="946"/>
      <c r="AR56" s="927" t="str">
        <f>+'V. Indicadores'!L21</f>
        <v>Edad Promedio de los equipos</v>
      </c>
      <c r="AS56" s="1009" t="str">
        <f>+'V. Indicadores'!M21</f>
        <v>años</v>
      </c>
      <c r="AT56" s="1217">
        <f>+'V. Indicadores'!N21</f>
        <v>0</v>
      </c>
      <c r="AX56" s="668"/>
      <c r="AY56" s="961"/>
      <c r="AZ56" s="668"/>
      <c r="BL56" s="1395"/>
      <c r="BM56" s="1395"/>
      <c r="BN56" s="1395"/>
      <c r="BO56" s="1395"/>
      <c r="BP56" s="1395"/>
      <c r="BQ56" s="1395"/>
      <c r="BR56" s="1395"/>
      <c r="BS56" s="1395"/>
      <c r="BT56" s="1395"/>
      <c r="BU56" s="1395"/>
      <c r="DA56" s="1517"/>
      <c r="DB56" s="1531"/>
      <c r="DC56" s="1531"/>
      <c r="DD56" s="1531"/>
    </row>
    <row r="57" spans="12:108" ht="16.5" customHeight="1">
      <c r="L57" s="608"/>
      <c r="M57" s="675"/>
      <c r="N57" s="675"/>
      <c r="O57" s="675"/>
      <c r="P57" s="675"/>
      <c r="Q57" s="960"/>
      <c r="R57" s="608"/>
      <c r="Z57" s="911" t="s">
        <v>1021</v>
      </c>
      <c r="AA57" s="562"/>
      <c r="AB57" s="918">
        <f>+IF('V. Indicadores'!N3=0,0,('VII. Impresión'!AN5+'VII. Impresión'!AN6)/'V. Indicadores'!N3)</f>
        <v>0</v>
      </c>
      <c r="AC57" s="919"/>
      <c r="AD57" s="529"/>
      <c r="AE57" s="914"/>
      <c r="AK57" s="971" t="s">
        <v>152</v>
      </c>
      <c r="AL57" s="1074"/>
      <c r="AM57" s="1225">
        <f>'Información General'!O8+'Información General'!O9</f>
        <v>0</v>
      </c>
      <c r="AN57" s="1225">
        <f>(+'Información General'!O40+'Información General'!T40)</f>
        <v>0</v>
      </c>
      <c r="AO57" s="925"/>
      <c r="AX57" s="926" t="str">
        <f>+'V. Indicadores'!T28</f>
        <v>Peso entore vaquillonas</v>
      </c>
      <c r="AY57" s="612" t="str">
        <f>+'V. Indicadores'!U28</f>
        <v>kgrs/cab</v>
      </c>
      <c r="AZ57" s="996">
        <f>+'V. Indicadores'!V28</f>
        <v>0</v>
      </c>
      <c r="BC57" s="1118" t="s">
        <v>1019</v>
      </c>
      <c r="BD57" s="625"/>
      <c r="BE57" s="1117"/>
      <c r="BL57" s="1395"/>
      <c r="BM57" s="1395"/>
      <c r="BN57" s="1395"/>
      <c r="BO57" s="1395"/>
      <c r="BP57" s="1395"/>
      <c r="BQ57" s="1395"/>
      <c r="BR57" s="1395"/>
      <c r="BS57" s="1395"/>
      <c r="BT57" s="1395"/>
      <c r="BU57" s="1395"/>
      <c r="DA57" s="1517"/>
      <c r="DB57" s="1531"/>
      <c r="DC57" s="1531"/>
      <c r="DD57" s="1531"/>
    </row>
    <row r="58" spans="12:73" ht="16.5" customHeight="1">
      <c r="L58" s="608"/>
      <c r="M58" s="675"/>
      <c r="N58" s="675"/>
      <c r="O58" s="675"/>
      <c r="P58" s="675"/>
      <c r="Q58" s="960"/>
      <c r="R58" s="608"/>
      <c r="Z58" s="529"/>
      <c r="AA58" s="529"/>
      <c r="AB58" s="529"/>
      <c r="AC58" s="529"/>
      <c r="AD58" s="529"/>
      <c r="AE58" s="529"/>
      <c r="AK58" s="966" t="s">
        <v>153</v>
      </c>
      <c r="AL58" s="618"/>
      <c r="AM58" s="1224"/>
      <c r="AN58" s="1224">
        <f>('Información General'!Z61+'Información General'!AG61)+'Información General'!AA61</f>
        <v>0</v>
      </c>
      <c r="AO58" s="996"/>
      <c r="AX58" s="926" t="str">
        <f>+'V. Indicadores'!T29</f>
        <v>Prod. Leche Total</v>
      </c>
      <c r="AY58" s="612" t="str">
        <f>+'V. Indicadores'!U29</f>
        <v>lts/VT-año</v>
      </c>
      <c r="AZ58" s="996">
        <f>+'V. Indicadores'!V29</f>
        <v>0</v>
      </c>
      <c r="BC58" s="1119" t="str">
        <f>+'V. Indicadores'!T96</f>
        <v>Gasto fertilizante/Sup. Agrícola</v>
      </c>
      <c r="BD58" s="705" t="str">
        <f>+'V. Indicadores'!U96</f>
        <v>$/ha</v>
      </c>
      <c r="BE58" s="1120">
        <f>+'V. Indicadores'!V96</f>
        <v>0</v>
      </c>
      <c r="BL58" s="1395"/>
      <c r="BM58" s="1395"/>
      <c r="BN58" s="1395"/>
      <c r="BO58" s="1395"/>
      <c r="BP58" s="1395"/>
      <c r="BQ58" s="1395"/>
      <c r="BR58" s="1395"/>
      <c r="BS58" s="1395"/>
      <c r="BT58" s="1395"/>
      <c r="BU58" s="1395"/>
    </row>
    <row r="59" spans="12:73" ht="16.5" customHeight="1">
      <c r="L59" s="608"/>
      <c r="M59" s="675"/>
      <c r="N59" s="675"/>
      <c r="O59" s="675"/>
      <c r="P59" s="675"/>
      <c r="Q59" s="960"/>
      <c r="R59" s="608"/>
      <c r="Z59" s="529"/>
      <c r="AA59" s="529"/>
      <c r="AB59" s="529"/>
      <c r="AC59" s="529"/>
      <c r="AD59" s="529"/>
      <c r="AE59" s="529"/>
      <c r="AK59" s="966" t="s">
        <v>1022</v>
      </c>
      <c r="AL59" s="618"/>
      <c r="AM59" s="1224"/>
      <c r="AN59" s="1224">
        <f>'VII. Impresión'!D19</f>
        <v>0</v>
      </c>
      <c r="AO59" s="996"/>
      <c r="AX59" s="926" t="str">
        <f>+'V. Indicadores'!T30</f>
        <v>Prod. Leche Total</v>
      </c>
      <c r="AY59" s="612" t="str">
        <f>+'V. Indicadores'!U30</f>
        <v>lts/VO-año</v>
      </c>
      <c r="AZ59" s="996">
        <f>+'V. Indicadores'!V30</f>
        <v>0</v>
      </c>
      <c r="BC59" s="1121" t="str">
        <f>+'V. Indicadores'!T97</f>
        <v>Gasto herbicida/Sup. Agrícola</v>
      </c>
      <c r="BD59" s="706" t="str">
        <f>+'V. Indicadores'!U97</f>
        <v>$/ha</v>
      </c>
      <c r="BE59" s="1008">
        <f>+'V. Indicadores'!V97</f>
        <v>0</v>
      </c>
      <c r="BL59" s="1395"/>
      <c r="BM59" s="1395"/>
      <c r="BN59" s="1395"/>
      <c r="BO59" s="1395"/>
      <c r="BP59" s="1395"/>
      <c r="BQ59" s="1395"/>
      <c r="BR59" s="1395"/>
      <c r="BS59" s="1395"/>
      <c r="BT59" s="1395"/>
      <c r="BU59" s="1395"/>
    </row>
    <row r="60" spans="13:73" ht="16.5" customHeight="1" thickBot="1">
      <c r="M60" s="603" t="s">
        <v>1023</v>
      </c>
      <c r="O60" s="675"/>
      <c r="P60" s="675"/>
      <c r="Z60" s="1317" t="s">
        <v>1024</v>
      </c>
      <c r="AA60" s="1318"/>
      <c r="AB60" s="1319"/>
      <c r="AC60" s="1320">
        <f>+AB49+AB50+AB51-AB57</f>
        <v>0</v>
      </c>
      <c r="AE60" s="914"/>
      <c r="AK60" s="966" t="s">
        <v>1025</v>
      </c>
      <c r="AL60" s="618"/>
      <c r="AM60" s="1224"/>
      <c r="AN60" s="1224">
        <f>(AO22+AO40)/12</f>
        <v>0</v>
      </c>
      <c r="AO60" s="996"/>
      <c r="AX60" s="926" t="str">
        <f>+'V. Indicadores'!T31</f>
        <v>Prod. Leche Total</v>
      </c>
      <c r="AY60" s="612" t="str">
        <f>+'V. Indicadores'!U31</f>
        <v>lts/VO-día</v>
      </c>
      <c r="AZ60" s="996">
        <f>+'V. Indicadores'!V31</f>
        <v>0</v>
      </c>
      <c r="BC60" s="1121" t="str">
        <f>+'V. Indicadores'!T98</f>
        <v>Gasto  insecticidas/Sup. Agrícola</v>
      </c>
      <c r="BD60" s="706" t="str">
        <f>+'V. Indicadores'!U98</f>
        <v>$/ha</v>
      </c>
      <c r="BE60" s="1008">
        <f>+'V. Indicadores'!V98</f>
        <v>0</v>
      </c>
      <c r="BL60" s="1395"/>
      <c r="BM60" s="1395"/>
      <c r="BN60" s="1395"/>
      <c r="BO60" s="1395"/>
      <c r="BP60" s="1395"/>
      <c r="BQ60" s="1395"/>
      <c r="BR60" s="1395"/>
      <c r="BS60" s="1395"/>
      <c r="BT60" s="1395"/>
      <c r="BU60" s="1395"/>
    </row>
    <row r="61" spans="13:73" ht="16.5" customHeight="1">
      <c r="M61" s="971" t="str">
        <f>'II. Datos  Ganaderos'!Q60</f>
        <v>CULTIVOS</v>
      </c>
      <c r="N61" s="1089" t="s">
        <v>303</v>
      </c>
      <c r="O61" s="1413" t="s">
        <v>821</v>
      </c>
      <c r="P61" s="675"/>
      <c r="Z61" s="1321"/>
      <c r="AA61" s="912"/>
      <c r="AB61" s="919"/>
      <c r="AC61" s="1322"/>
      <c r="AE61" s="914"/>
      <c r="AK61" s="966" t="s">
        <v>1026</v>
      </c>
      <c r="AL61" s="618"/>
      <c r="AM61" s="1224">
        <f>AN61+(AN63/2)</f>
        <v>0</v>
      </c>
      <c r="AN61" s="1224">
        <f>SUM(AN57:AN60)</f>
        <v>0</v>
      </c>
      <c r="AO61" s="996"/>
      <c r="AX61" s="926" t="str">
        <f>+'V. Indicadores'!T32</f>
        <v>Prod. Leche Total</v>
      </c>
      <c r="AY61" s="612" t="str">
        <f>+'V. Indicadores'!U32</f>
        <v>lts/VT-día</v>
      </c>
      <c r="AZ61" s="996">
        <f>+'V. Indicadores'!V32</f>
        <v>0</v>
      </c>
      <c r="BC61" s="1121" t="str">
        <f>+'V. Indicadores'!T99</f>
        <v>Gastos directos/Sup. Agrícola</v>
      </c>
      <c r="BD61" s="706" t="str">
        <f>+'V. Indicadores'!U99</f>
        <v>$/ha</v>
      </c>
      <c r="BE61" s="1008">
        <f>+'V. Indicadores'!V99</f>
        <v>0</v>
      </c>
      <c r="BL61" s="1395"/>
      <c r="BM61" s="1395"/>
      <c r="BN61" s="1395"/>
      <c r="BO61" s="1395"/>
      <c r="BP61" s="1395"/>
      <c r="BQ61" s="1395"/>
      <c r="BR61" s="1395"/>
      <c r="BS61" s="1395"/>
      <c r="BT61" s="1395"/>
      <c r="BU61" s="1395"/>
    </row>
    <row r="62" spans="13:73" ht="16.5" customHeight="1">
      <c r="M62" s="966"/>
      <c r="N62" s="675"/>
      <c r="O62" s="1037"/>
      <c r="P62" s="675"/>
      <c r="Z62" s="1321" t="s">
        <v>1027</v>
      </c>
      <c r="AA62" s="912"/>
      <c r="AB62" s="919"/>
      <c r="AC62" s="1322">
        <f>+AC60+AB53</f>
        <v>0</v>
      </c>
      <c r="AE62" s="914"/>
      <c r="AK62" s="966" t="s">
        <v>1028</v>
      </c>
      <c r="AL62" s="618"/>
      <c r="AM62" s="1224"/>
      <c r="AN62" s="1224">
        <f>AN57*0.04+SUM(AN58:AN60)*0.08</f>
        <v>0</v>
      </c>
      <c r="AO62" s="996"/>
      <c r="AX62" s="926" t="str">
        <f>+'V. Indicadores'!T33</f>
        <v>Prod. Leche Total</v>
      </c>
      <c r="AY62" s="612" t="str">
        <f>+'V. Indicadores'!U33</f>
        <v>lts/día </v>
      </c>
      <c r="AZ62" s="996">
        <f>+'V. Indicadores'!V33</f>
        <v>0</v>
      </c>
      <c r="BC62" s="1121" t="str">
        <f>+'V. Indicadores'!T100</f>
        <v>Precio obtenido</v>
      </c>
      <c r="BD62" s="706"/>
      <c r="BE62" s="1008"/>
      <c r="BL62" s="1395"/>
      <c r="BM62" s="1395"/>
      <c r="BN62" s="1395"/>
      <c r="BO62" s="1395"/>
      <c r="BP62" s="1395"/>
      <c r="BQ62" s="1395"/>
      <c r="BR62" s="1395"/>
      <c r="BS62" s="1395"/>
      <c r="BT62" s="1395"/>
      <c r="BU62" s="1395"/>
    </row>
    <row r="63" spans="13:73" ht="16.5" customHeight="1" thickBot="1">
      <c r="M63" s="966" t="str">
        <f>'II. Datos  Ganaderos'!Q62</f>
        <v>  Base alfalfa 1er año</v>
      </c>
      <c r="N63" s="675">
        <f>IF(O63=0,0,+'II. Datos  Ganaderos'!T64)</f>
        <v>0</v>
      </c>
      <c r="O63" s="1037">
        <f>+'VII. Impresión'!BY7</f>
        <v>0</v>
      </c>
      <c r="P63" s="675"/>
      <c r="Z63" s="1321"/>
      <c r="AA63" s="912"/>
      <c r="AB63" s="919"/>
      <c r="AC63" s="1322"/>
      <c r="AE63" s="914"/>
      <c r="AK63" s="968" t="s">
        <v>1029</v>
      </c>
      <c r="AL63" s="1004"/>
      <c r="AM63" s="1226"/>
      <c r="AN63" s="1226">
        <f>+'Información General'!T40+'Información General'!AG61+'VII. Impresión'!BU15+'VII. Impresión'!BU24</f>
        <v>0</v>
      </c>
      <c r="AO63" s="997"/>
      <c r="AX63" s="926" t="str">
        <f>+'V. Indicadores'!T34</f>
        <v>Leche consumida</v>
      </c>
      <c r="AY63" s="612" t="str">
        <f>+'V. Indicadores'!U34</f>
        <v>litros totales</v>
      </c>
      <c r="AZ63" s="996">
        <f>+'V. Indicadores'!V34</f>
        <v>0</v>
      </c>
      <c r="BC63" s="1121" t="str">
        <f>+'V. Indicadores'!T101</f>
        <v>XXX</v>
      </c>
      <c r="BD63" s="706" t="str">
        <f>+'V. Indicadores'!U101</f>
        <v>$/qq</v>
      </c>
      <c r="BE63" s="1008">
        <f>+'V. Indicadores'!V101</f>
        <v>0</v>
      </c>
      <c r="BL63" s="1395"/>
      <c r="BM63" s="1395"/>
      <c r="BN63" s="1395"/>
      <c r="BO63" s="1395"/>
      <c r="BP63" s="1395"/>
      <c r="BQ63" s="1395"/>
      <c r="BR63" s="1395"/>
      <c r="BS63" s="1395"/>
      <c r="BT63" s="1395"/>
      <c r="BU63" s="1395"/>
    </row>
    <row r="64" spans="13:73" ht="16.5" customHeight="1" thickBot="1">
      <c r="M64" s="966" t="str">
        <f>'II. Datos  Ganaderos'!Q63</f>
        <v>                     2do año</v>
      </c>
      <c r="N64" s="675">
        <f>IF(O64=0,0,+'II. Datos  Ganaderos'!T65)</f>
        <v>0</v>
      </c>
      <c r="O64" s="1037">
        <f>+'VII. Impresión'!BY8</f>
        <v>0</v>
      </c>
      <c r="P64" s="675"/>
      <c r="Z64" s="1321" t="s">
        <v>1030</v>
      </c>
      <c r="AA64" s="912"/>
      <c r="AB64" s="919"/>
      <c r="AC64" s="1322">
        <f>+AC62+AB55+AB52</f>
        <v>0</v>
      </c>
      <c r="AE64" s="914"/>
      <c r="AK64" s="675"/>
      <c r="AL64" s="618"/>
      <c r="AM64" s="945"/>
      <c r="AN64" s="945"/>
      <c r="AO64" s="946"/>
      <c r="AX64" s="926" t="str">
        <f>+'V. Indicadores'!T35</f>
        <v>Porcentaje de GB (valor promedio de venta)</v>
      </c>
      <c r="AY64" s="612" t="str">
        <f>+'V. Indicadores'!U35</f>
        <v>% GB</v>
      </c>
      <c r="AZ64" s="1024">
        <f>+'V. Indicadores'!V35</f>
        <v>0</v>
      </c>
      <c r="BC64" s="1121" t="str">
        <f>+'V. Indicadores'!T102</f>
        <v>XXX</v>
      </c>
      <c r="BD64" s="706" t="str">
        <f>+'V. Indicadores'!U102</f>
        <v>$/qq</v>
      </c>
      <c r="BE64" s="1008">
        <f>+'V. Indicadores'!V102</f>
        <v>0</v>
      </c>
      <c r="BL64" s="1395"/>
      <c r="BM64" s="1395"/>
      <c r="BN64" s="1395"/>
      <c r="BO64" s="1395"/>
      <c r="BP64" s="1395"/>
      <c r="BQ64" s="1395"/>
      <c r="BR64" s="1395"/>
      <c r="BS64" s="1395"/>
      <c r="BT64" s="1395"/>
      <c r="BU64" s="1395"/>
    </row>
    <row r="65" spans="13:73" ht="16.5" customHeight="1">
      <c r="M65" s="966" t="str">
        <f>'II. Datos  Ganaderos'!Q64</f>
        <v>                     3er año</v>
      </c>
      <c r="N65" s="675">
        <f>IF(O65=0,0,+'II. Datos  Ganaderos'!T66)</f>
        <v>0</v>
      </c>
      <c r="O65" s="1037">
        <f>+'VII. Impresión'!BY9</f>
        <v>0</v>
      </c>
      <c r="P65" s="675"/>
      <c r="Z65" s="910"/>
      <c r="AA65" s="529"/>
      <c r="AB65" s="914"/>
      <c r="AC65" s="1323"/>
      <c r="AE65" s="914"/>
      <c r="AK65" s="1129" t="s">
        <v>695</v>
      </c>
      <c r="AL65" s="1130"/>
      <c r="AM65" s="1131" t="s">
        <v>7</v>
      </c>
      <c r="AN65" s="1131" t="s">
        <v>419</v>
      </c>
      <c r="AO65" s="1132"/>
      <c r="AX65" s="926" t="str">
        <f>+'V. Indicadores'!T37</f>
        <v>Consumo de concentrado/lt.leche</v>
      </c>
      <c r="AY65" s="612" t="str">
        <f>+'V. Indicadores'!U37</f>
        <v>grs/lt.</v>
      </c>
      <c r="AZ65" s="1025">
        <f>+'V. Indicadores'!V37</f>
        <v>0</v>
      </c>
      <c r="BC65" s="1121" t="str">
        <f>+'V. Indicadores'!T103</f>
        <v>XXX</v>
      </c>
      <c r="BD65" s="706" t="str">
        <f>+'V. Indicadores'!U103</f>
        <v>$/qq</v>
      </c>
      <c r="BE65" s="1008">
        <f>+'V. Indicadores'!V103</f>
        <v>0</v>
      </c>
      <c r="BL65" s="1395"/>
      <c r="BM65" s="1395"/>
      <c r="BN65" s="1395"/>
      <c r="BO65" s="1395"/>
      <c r="BP65" s="1395"/>
      <c r="BQ65" s="1395"/>
      <c r="BR65" s="1395"/>
      <c r="BS65" s="1395"/>
      <c r="BT65" s="1395"/>
      <c r="BU65" s="1395"/>
    </row>
    <row r="66" spans="13:73" ht="16.5" customHeight="1">
      <c r="M66" s="966" t="str">
        <f>'II. Datos  Ganaderos'!Q65</f>
        <v>                    4to año</v>
      </c>
      <c r="N66" s="675">
        <f>IF(O66=0,0,+'II. Datos  Ganaderos'!T67)</f>
        <v>0</v>
      </c>
      <c r="O66" s="1037">
        <f>+'VII. Impresión'!BY10</f>
        <v>0</v>
      </c>
      <c r="P66" s="675"/>
      <c r="Q66" s="675"/>
      <c r="Z66" s="910"/>
      <c r="AA66" s="529"/>
      <c r="AB66" s="920" t="s">
        <v>1031</v>
      </c>
      <c r="AC66" s="1324" t="s">
        <v>1007</v>
      </c>
      <c r="AE66" s="914"/>
      <c r="AK66" s="966" t="s">
        <v>1032</v>
      </c>
      <c r="AL66" s="618"/>
      <c r="AM66" s="1224">
        <f>AO22+AO40-AM68</f>
        <v>0</v>
      </c>
      <c r="AN66" s="623">
        <f>IF($AM$71=0,0,+AM66/$AM$71)</f>
        <v>0</v>
      </c>
      <c r="AO66" s="996"/>
      <c r="AX66" s="926" t="str">
        <f>+'V. Indicadores'!T38</f>
        <v>Consumo de concentrado/VT</v>
      </c>
      <c r="AY66" s="612" t="str">
        <f>+'V. Indicadores'!U38</f>
        <v>kg/VT</v>
      </c>
      <c r="AZ66" s="996">
        <f>+'V. Indicadores'!V38</f>
        <v>0</v>
      </c>
      <c r="BC66" s="1121" t="str">
        <f>+'V. Indicadores'!T104</f>
        <v>XXX</v>
      </c>
      <c r="BD66" s="706" t="str">
        <f>+'V. Indicadores'!U104</f>
        <v>$/qq</v>
      </c>
      <c r="BE66" s="1008">
        <f>+'V. Indicadores'!V104</f>
        <v>0</v>
      </c>
      <c r="BL66" s="1395"/>
      <c r="BM66" s="1395"/>
      <c r="BN66" s="1395"/>
      <c r="BO66" s="1395"/>
      <c r="BP66" s="1395"/>
      <c r="BQ66" s="1395"/>
      <c r="BR66" s="1395"/>
      <c r="BS66" s="1395"/>
      <c r="BT66" s="1395"/>
      <c r="BU66" s="1395"/>
    </row>
    <row r="67" spans="13:73" ht="16.5" customHeight="1">
      <c r="M67" s="966" t="str">
        <f>'II. Datos  Ganaderos'!Q66</f>
        <v>.....................</v>
      </c>
      <c r="N67" s="675">
        <f>IF(O67=0,0,+'II. Datos  Ganaderos'!T68)</f>
        <v>0</v>
      </c>
      <c r="O67" s="1037">
        <f>+'VII. Impresión'!BY11</f>
        <v>0</v>
      </c>
      <c r="P67" s="678"/>
      <c r="Q67" s="675"/>
      <c r="Z67" s="910" t="s">
        <v>1033</v>
      </c>
      <c r="AA67" s="529"/>
      <c r="AB67" s="1154">
        <v>0</v>
      </c>
      <c r="AC67" s="1324">
        <f>+IF('V. Indicadores'!N3=0,0,(AB67*12/('V. Indicadores'!D26/'V. Indicadores'!D16)/'V. Indicadores'!N3))</f>
        <v>0</v>
      </c>
      <c r="AE67" s="914"/>
      <c r="AK67" s="966" t="s">
        <v>1017</v>
      </c>
      <c r="AL67" s="618"/>
      <c r="AM67" s="1224">
        <f>AN44</f>
        <v>0</v>
      </c>
      <c r="AN67" s="623">
        <f>IF($AM$71=0,0,+AM67/$AM$71)</f>
        <v>0</v>
      </c>
      <c r="AO67" s="996"/>
      <c r="AX67" s="926" t="str">
        <f>+'V. Indicadores'!T39</f>
        <v>Productividad de la MO ordeño</v>
      </c>
      <c r="AY67" s="612" t="str">
        <f>+'V. Indicadores'!U39</f>
        <v>VO/EH</v>
      </c>
      <c r="AZ67" s="996">
        <f>+'V. Indicadores'!V39</f>
        <v>0</v>
      </c>
      <c r="BC67" s="1121" t="str">
        <f>+'V. Indicadores'!T105</f>
        <v>XXX</v>
      </c>
      <c r="BD67" s="706" t="str">
        <f>+'V. Indicadores'!U105</f>
        <v>$/qq</v>
      </c>
      <c r="BE67" s="1008">
        <f>+'V. Indicadores'!V105</f>
        <v>0</v>
      </c>
      <c r="BL67" s="1395"/>
      <c r="BM67" s="1395"/>
      <c r="BN67" s="1395"/>
      <c r="BO67" s="1395"/>
      <c r="BP67" s="1395"/>
      <c r="BQ67" s="1395"/>
      <c r="BR67" s="1395"/>
      <c r="BS67" s="1395"/>
      <c r="BT67" s="1395"/>
      <c r="BU67" s="1395"/>
    </row>
    <row r="68" spans="13:73" ht="16.5" customHeight="1" thickBot="1">
      <c r="M68" s="966" t="str">
        <f>'II. Datos  Ganaderos'!Q67</f>
        <v> Base festuca 1er año</v>
      </c>
      <c r="N68" s="675">
        <f>IF(O68=0,0,+'II. Datos  Ganaderos'!T69)</f>
        <v>0</v>
      </c>
      <c r="O68" s="1037">
        <f>+'VII. Impresión'!BY12</f>
        <v>0</v>
      </c>
      <c r="P68" s="675"/>
      <c r="Q68" s="675"/>
      <c r="Z68" s="910"/>
      <c r="AA68" s="529"/>
      <c r="AB68" s="914"/>
      <c r="AC68" s="1323"/>
      <c r="AE68" s="914"/>
      <c r="AK68" s="966" t="s">
        <v>1001</v>
      </c>
      <c r="AL68" s="607"/>
      <c r="AM68" s="1224">
        <f>'VII. Impresión'!AC34+'VII. Impresión'!V31+'VII. Impresión'!AI16+'VII. Impresión'!AI13</f>
        <v>0</v>
      </c>
      <c r="AN68" s="623">
        <f>IF($AM$71=0,0,+AM68/$AM$71)</f>
        <v>0</v>
      </c>
      <c r="AO68" s="996"/>
      <c r="AP68" s="689"/>
      <c r="AX68" s="927" t="str">
        <f>+'V. Indicadores'!T40</f>
        <v>Productividad de la MO ordeño</v>
      </c>
      <c r="AY68" s="1009" t="str">
        <f>+'V. Indicadores'!U40</f>
        <v>kgr.GB/EH</v>
      </c>
      <c r="AZ68" s="997">
        <f>+'V. Indicadores'!V40</f>
        <v>0</v>
      </c>
      <c r="BC68" s="1121" t="str">
        <f>+'V. Indicadores'!T106</f>
        <v>XXX</v>
      </c>
      <c r="BD68" s="706" t="str">
        <f>+'V. Indicadores'!U106</f>
        <v>$/qq</v>
      </c>
      <c r="BE68" s="1008">
        <f>+'V. Indicadores'!V106</f>
        <v>0</v>
      </c>
      <c r="BL68" s="1395"/>
      <c r="BM68" s="1395"/>
      <c r="BN68" s="1395"/>
      <c r="BO68" s="1395"/>
      <c r="BP68" s="1395"/>
      <c r="BQ68" s="1395"/>
      <c r="BR68" s="1395"/>
      <c r="BS68" s="1395"/>
      <c r="BT68" s="1395"/>
      <c r="BU68" s="1395"/>
    </row>
    <row r="69" spans="13:73" ht="16.5" customHeight="1">
      <c r="M69" s="966" t="str">
        <f>'II. Datos  Ganaderos'!Q68</f>
        <v>                     2do año</v>
      </c>
      <c r="N69" s="675">
        <f>IF(O69=0,0,+'II. Datos  Ganaderos'!T70)</f>
        <v>0</v>
      </c>
      <c r="O69" s="1037">
        <f>+'VII. Impresión'!BY13</f>
        <v>0</v>
      </c>
      <c r="P69" s="1138" t="s">
        <v>873</v>
      </c>
      <c r="Q69" s="1139">
        <f>('II. Datos  Ganaderos'!R62*'II. Datos  Ganaderos'!S62+'II. Datos  Ganaderos'!R63*'II. Datos  Ganaderos'!S63+'II. Datos  Ganaderos'!R64*'II. Datos  Ganaderos'!S64+'II. Datos  Ganaderos'!R65*'II. Datos  Ganaderos'!S65+'II. Datos  Ganaderos'!R66*'II. Datos  Ganaderos'!S66+'II. Datos  Ganaderos'!R67*'II. Datos  Ganaderos'!S67+'II. Datos  Ganaderos'!R68*'II. Datos  Ganaderos'!S68+'II. Datos  Ganaderos'!R69*'II. Datos  Ganaderos'!S69+'II. Datos  Ganaderos'!R70*'II. Datos  Ganaderos'!S70)/12</f>
        <v>0</v>
      </c>
      <c r="Z69" s="1321" t="s">
        <v>1034</v>
      </c>
      <c r="AA69" s="529"/>
      <c r="AB69" s="914"/>
      <c r="AC69" s="1322">
        <f>+AC62+AC67</f>
        <v>0</v>
      </c>
      <c r="AE69" s="914"/>
      <c r="AK69" s="966" t="s">
        <v>1035</v>
      </c>
      <c r="AL69" s="607"/>
      <c r="AM69" s="1224">
        <f>AN48</f>
        <v>0</v>
      </c>
      <c r="AN69" s="623">
        <f>IF($AM$71=0,0,+AM69/$AM$71)</f>
        <v>0</v>
      </c>
      <c r="AO69" s="996"/>
      <c r="AP69" s="689"/>
      <c r="BC69" s="1121" t="str">
        <f>+'V. Indicadores'!T107</f>
        <v>XXX</v>
      </c>
      <c r="BD69" s="706" t="str">
        <f>+'V. Indicadores'!U107</f>
        <v>$/qq</v>
      </c>
      <c r="BE69" s="1008">
        <f>+'V. Indicadores'!V107</f>
        <v>0</v>
      </c>
      <c r="BL69" s="1395"/>
      <c r="BM69" s="1395"/>
      <c r="BN69" s="1395"/>
      <c r="BO69" s="1395"/>
      <c r="BP69" s="1395"/>
      <c r="BQ69" s="1395"/>
      <c r="BR69" s="1395"/>
      <c r="BS69" s="1395"/>
      <c r="BT69" s="1395"/>
      <c r="BU69" s="1395"/>
    </row>
    <row r="70" spans="13:73" ht="16.5" customHeight="1">
      <c r="M70" s="966" t="str">
        <f>'II. Datos  Ganaderos'!Q69</f>
        <v>                    3er año</v>
      </c>
      <c r="N70" s="675">
        <f>IF(O70=0,0,+'II. Datos  Ganaderos'!T71)</f>
        <v>0</v>
      </c>
      <c r="O70" s="1037">
        <f>+'VII. Impresión'!BY14</f>
        <v>0</v>
      </c>
      <c r="P70" s="1140" t="s">
        <v>877</v>
      </c>
      <c r="Q70" s="1141">
        <f>('II. Datos  Ganaderos'!R73*'II. Datos  Ganaderos'!S73+'II. Datos  Ganaderos'!R78*'II. Datos  Ganaderos'!S78+'II. Datos  Ganaderos'!R74*'II. Datos  Ganaderos'!S74)/12</f>
        <v>0</v>
      </c>
      <c r="Z70" s="910" t="s">
        <v>1036</v>
      </c>
      <c r="AA70" s="529"/>
      <c r="AB70" s="914"/>
      <c r="AC70" s="1153"/>
      <c r="AE70" s="914"/>
      <c r="AK70" s="966" t="s">
        <v>1018</v>
      </c>
      <c r="AL70" s="607"/>
      <c r="AM70" s="1224">
        <f>AN62</f>
        <v>0</v>
      </c>
      <c r="AN70" s="623">
        <f>IF($AM$71=0,0,+AM70/$AM$71)</f>
        <v>0</v>
      </c>
      <c r="AO70" s="996"/>
      <c r="AP70" s="689"/>
      <c r="BC70" s="1121" t="str">
        <f>+'V. Indicadores'!T108</f>
        <v>XXX</v>
      </c>
      <c r="BD70" s="706" t="str">
        <f>+'V. Indicadores'!U108</f>
        <v>$/qq</v>
      </c>
      <c r="BE70" s="1008">
        <f>+'V. Indicadores'!V108</f>
        <v>0</v>
      </c>
      <c r="BL70" s="1395"/>
      <c r="BM70" s="1395"/>
      <c r="BN70" s="1395"/>
      <c r="BO70" s="1395"/>
      <c r="BP70" s="1395"/>
      <c r="BQ70" s="1395"/>
      <c r="BR70" s="1395"/>
      <c r="BS70" s="1395"/>
      <c r="BT70" s="1395"/>
      <c r="BU70" s="1395"/>
    </row>
    <row r="71" spans="13:73" ht="16.5" customHeight="1">
      <c r="M71" s="966" t="str">
        <f>'II. Datos  Ganaderos'!Q70</f>
        <v>                    4to año</v>
      </c>
      <c r="N71" s="675">
        <f>IF(O71=0,0,+'II. Datos  Ganaderos'!T72)</f>
        <v>0</v>
      </c>
      <c r="O71" s="1037">
        <f>+'VII. Impresión'!BY15</f>
        <v>0</v>
      </c>
      <c r="P71" s="1140" t="s">
        <v>882</v>
      </c>
      <c r="Q71" s="1141">
        <f>('II. Datos  Ganaderos'!R75*'II. Datos  Ganaderos'!S75+'II. Datos  Ganaderos'!R76*'II. Datos  Ganaderos'!S76+'II. Datos  Ganaderos'!R77*'II. Datos  Ganaderos'!S77)/12</f>
        <v>0</v>
      </c>
      <c r="Z71" s="911"/>
      <c r="AA71" s="562"/>
      <c r="AB71" s="562"/>
      <c r="AC71" s="445"/>
      <c r="AE71" s="914"/>
      <c r="AK71" s="926" t="s">
        <v>718</v>
      </c>
      <c r="AL71" s="608"/>
      <c r="AM71" s="1224">
        <f>SUM(AM66:AM70)</f>
        <v>0</v>
      </c>
      <c r="AN71" s="635"/>
      <c r="AO71" s="996"/>
      <c r="AP71" s="689"/>
      <c r="BC71" s="1121" t="str">
        <f>+'V. Indicadores'!T109</f>
        <v>XXX</v>
      </c>
      <c r="BD71" s="706" t="str">
        <f>+'V. Indicadores'!U109</f>
        <v>$/qq</v>
      </c>
      <c r="BE71" s="1008">
        <f>+'V. Indicadores'!V109</f>
        <v>0</v>
      </c>
      <c r="BL71" s="1395"/>
      <c r="BM71" s="1395"/>
      <c r="BN71" s="1395"/>
      <c r="BO71" s="1395"/>
      <c r="BP71" s="1395"/>
      <c r="BQ71" s="1395"/>
      <c r="BR71" s="1395"/>
      <c r="BS71" s="1395"/>
      <c r="BT71" s="1395"/>
      <c r="BU71" s="1395"/>
    </row>
    <row r="72" spans="13:73" ht="16.5" customHeight="1" thickBot="1">
      <c r="M72" s="966" t="str">
        <f>'II. Datos  Ganaderos'!Q71</f>
        <v> Rastrojo</v>
      </c>
      <c r="N72" s="675">
        <f>IF(O72=0,0,+'II. Datos  Ganaderos'!T73)</f>
        <v>0</v>
      </c>
      <c r="O72" s="1037">
        <f>+'VII. Impresión'!BY16</f>
        <v>0</v>
      </c>
      <c r="P72" s="1140" t="s">
        <v>885</v>
      </c>
      <c r="Q72" s="1141">
        <f>('II. Datos  Ganaderos'!R79*'II. Datos  Ganaderos'!S79+'II. Datos  Ganaderos'!R80*'II. Datos  Ganaderos'!S80)/12</f>
        <v>0</v>
      </c>
      <c r="Z72" s="529"/>
      <c r="AA72" s="529"/>
      <c r="AB72" s="529"/>
      <c r="AC72" s="529"/>
      <c r="AD72" s="529"/>
      <c r="AE72" s="914"/>
      <c r="AK72" s="927"/>
      <c r="AL72" s="978"/>
      <c r="AM72" s="978"/>
      <c r="AN72" s="978"/>
      <c r="AO72" s="997"/>
      <c r="AP72" s="689"/>
      <c r="BC72" s="1121" t="str">
        <f>+'V. Indicadores'!T110</f>
        <v>Margen Bruto</v>
      </c>
      <c r="BD72" s="706"/>
      <c r="BE72" s="1008"/>
      <c r="BL72" s="1395"/>
      <c r="BM72" s="1395"/>
      <c r="BN72" s="1395"/>
      <c r="BO72" s="1395"/>
      <c r="BP72" s="1395"/>
      <c r="BQ72" s="1395"/>
      <c r="BR72" s="1395"/>
      <c r="BS72" s="1395"/>
      <c r="BT72" s="1395"/>
      <c r="BU72" s="1395"/>
    </row>
    <row r="73" spans="13:73" ht="16.5" customHeight="1">
      <c r="M73" s="966" t="str">
        <f>'II. Datos  Ganaderos'!Q72</f>
        <v>  Campo natural</v>
      </c>
      <c r="N73" s="675">
        <f>IF(O73=0,0,+'II. Datos  Ganaderos'!T74)</f>
        <v>0</v>
      </c>
      <c r="O73" s="1037">
        <f>+'VII. Impresión'!BY17</f>
        <v>0</v>
      </c>
      <c r="P73" s="1140" t="s">
        <v>893</v>
      </c>
      <c r="Q73" s="1294">
        <f>'II. Datos  Ganaderos'!R71*'II. Datos  Ganaderos'!S71/12</f>
        <v>0</v>
      </c>
      <c r="Z73" s="529"/>
      <c r="AA73" s="529"/>
      <c r="AB73" s="529"/>
      <c r="AC73" s="529"/>
      <c r="AD73" s="529"/>
      <c r="AE73" s="914"/>
      <c r="AK73" s="689"/>
      <c r="AL73" s="689"/>
      <c r="AM73" s="689"/>
      <c r="AN73" s="689"/>
      <c r="AO73" s="689"/>
      <c r="AP73" s="689"/>
      <c r="BC73" s="1121" t="str">
        <f>+'V. Indicadores'!T111</f>
        <v>XXX</v>
      </c>
      <c r="BD73" s="706" t="str">
        <f>+'V. Indicadores'!U111</f>
        <v>$/ha</v>
      </c>
      <c r="BE73" s="1221">
        <f>+'V. Indicadores'!V111</f>
        <v>0</v>
      </c>
      <c r="BL73" s="1395"/>
      <c r="BM73" s="1395"/>
      <c r="BN73" s="1395"/>
      <c r="BO73" s="1395"/>
      <c r="BP73" s="1395"/>
      <c r="BQ73" s="1395"/>
      <c r="BR73" s="1395"/>
      <c r="BS73" s="1395"/>
      <c r="BT73" s="1395"/>
      <c r="BU73" s="1395"/>
    </row>
    <row r="74" spans="13:73" ht="16.5" customHeight="1" thickBot="1">
      <c r="M74" s="966" t="str">
        <f>'II. Datos  Ganaderos'!Q73</f>
        <v>  Moha</v>
      </c>
      <c r="N74" s="675">
        <f>IF(O74=0,0,+'II. Datos  Ganaderos'!T75)</f>
        <v>0</v>
      </c>
      <c r="O74" s="1037">
        <f>+'VII. Impresión'!BY18</f>
        <v>0</v>
      </c>
      <c r="P74" s="1142" t="s">
        <v>896</v>
      </c>
      <c r="Q74" s="1143">
        <f>'II. Datos  Ganaderos'!R72*'II. Datos  Ganaderos'!S72/12</f>
        <v>0</v>
      </c>
      <c r="Z74" s="529"/>
      <c r="AA74" s="529"/>
      <c r="AB74" s="529"/>
      <c r="AC74" s="529"/>
      <c r="AD74" s="529"/>
      <c r="AE74" s="914"/>
      <c r="AK74" s="689"/>
      <c r="AL74" s="689"/>
      <c r="AM74" s="689"/>
      <c r="AN74" s="689"/>
      <c r="AO74" s="689"/>
      <c r="AP74" s="689"/>
      <c r="BC74" s="1121" t="str">
        <f>+'V. Indicadores'!T112</f>
        <v>XXX</v>
      </c>
      <c r="BD74" s="706" t="str">
        <f>+'V. Indicadores'!U112</f>
        <v>$/ha</v>
      </c>
      <c r="BE74" s="1221">
        <f>+'V. Indicadores'!V112</f>
        <v>0</v>
      </c>
      <c r="BL74" s="1395"/>
      <c r="BM74" s="1395"/>
      <c r="BN74" s="1395"/>
      <c r="BO74" s="1395"/>
      <c r="BP74" s="1395"/>
      <c r="BQ74" s="1395"/>
      <c r="BR74" s="1395"/>
      <c r="BS74" s="1395"/>
      <c r="BT74" s="1395"/>
      <c r="BU74" s="1395"/>
    </row>
    <row r="75" spans="13:73" ht="16.5" customHeight="1">
      <c r="M75" s="966" t="str">
        <f>'II. Datos  Ganaderos'!Q74</f>
        <v>  Sorgo forrajero</v>
      </c>
      <c r="N75" s="675">
        <f>IF(O75=0,0,+'II. Datos  Ganaderos'!T76)</f>
        <v>0</v>
      </c>
      <c r="O75" s="1037">
        <f>+'VII. Impresión'!BY19</f>
        <v>0</v>
      </c>
      <c r="P75" s="675"/>
      <c r="AK75" s="689"/>
      <c r="AL75" s="689"/>
      <c r="AM75" s="689"/>
      <c r="AN75" s="689"/>
      <c r="AO75" s="689"/>
      <c r="AP75" s="689"/>
      <c r="BC75" s="1121" t="str">
        <f>+'V. Indicadores'!T113</f>
        <v>XXX</v>
      </c>
      <c r="BD75" s="706" t="str">
        <f>+'V. Indicadores'!U113</f>
        <v>$/ha</v>
      </c>
      <c r="BE75" s="1221">
        <f>+'V. Indicadores'!V113</f>
        <v>0</v>
      </c>
      <c r="BL75" s="1395"/>
      <c r="BM75" s="1395"/>
      <c r="BN75" s="1395"/>
      <c r="BO75" s="1395"/>
      <c r="BP75" s="1395"/>
      <c r="BQ75" s="1395"/>
      <c r="BR75" s="1395"/>
      <c r="BS75" s="1395"/>
      <c r="BT75" s="1395"/>
      <c r="BU75" s="1395"/>
    </row>
    <row r="76" spans="13:73" ht="16.5" customHeight="1">
      <c r="M76" s="966" t="str">
        <f>'II. Datos  Ganaderos'!Q75</f>
        <v>  Silo Maiz</v>
      </c>
      <c r="N76" s="675">
        <f>IF(O76=0,0,+'II. Datos  Ganaderos'!T77)</f>
        <v>0</v>
      </c>
      <c r="O76" s="1037">
        <f>+'VII. Impresión'!BY20</f>
        <v>0</v>
      </c>
      <c r="P76" s="675"/>
      <c r="AK76" s="689"/>
      <c r="AL76" s="689"/>
      <c r="AM76" s="689"/>
      <c r="AN76" s="689"/>
      <c r="AO76" s="689"/>
      <c r="AP76" s="689"/>
      <c r="BC76" s="1121" t="str">
        <f>+'V. Indicadores'!T114</f>
        <v>XXX</v>
      </c>
      <c r="BD76" s="706" t="str">
        <f>+'V. Indicadores'!U114</f>
        <v>$/ha</v>
      </c>
      <c r="BE76" s="1221">
        <f>+'V. Indicadores'!V114</f>
        <v>0</v>
      </c>
      <c r="BL76" s="1395"/>
      <c r="BM76" s="1395"/>
      <c r="BN76" s="1395"/>
      <c r="BO76" s="1395"/>
      <c r="BP76" s="1395"/>
      <c r="BQ76" s="1395"/>
      <c r="BR76" s="1395"/>
      <c r="BS76" s="1395"/>
      <c r="BT76" s="1395"/>
      <c r="BU76" s="1395"/>
    </row>
    <row r="77" spans="13:73" ht="16.5" customHeight="1">
      <c r="M77" s="966" t="str">
        <f>'II. Datos  Ganaderos'!Q76</f>
        <v>  Silo Sorgo</v>
      </c>
      <c r="N77" s="675">
        <f>IF(O77=0,0,+'II. Datos  Ganaderos'!T78)</f>
        <v>0</v>
      </c>
      <c r="O77" s="1037">
        <f>+'VII. Impresión'!BY21</f>
        <v>0</v>
      </c>
      <c r="P77" s="675"/>
      <c r="AK77" s="689"/>
      <c r="AL77" s="689"/>
      <c r="AM77" s="689"/>
      <c r="AN77" s="689"/>
      <c r="AO77" s="689"/>
      <c r="AP77" s="689"/>
      <c r="BC77" s="1121" t="str">
        <f>+'V. Indicadores'!T115</f>
        <v>XXX</v>
      </c>
      <c r="BD77" s="706" t="str">
        <f>+'V. Indicadores'!U115</f>
        <v>$/ha</v>
      </c>
      <c r="BE77" s="1221">
        <f>+'V. Indicadores'!V115</f>
        <v>0</v>
      </c>
      <c r="BL77" s="1395"/>
      <c r="BM77" s="1395"/>
      <c r="BN77" s="1395"/>
      <c r="BO77" s="1395"/>
      <c r="BP77" s="1395"/>
      <c r="BQ77" s="1395"/>
      <c r="BR77" s="1395"/>
      <c r="BS77" s="1395"/>
      <c r="BT77" s="1395"/>
      <c r="BU77" s="1395"/>
    </row>
    <row r="78" spans="13:73" ht="16.5" customHeight="1">
      <c r="M78" s="966" t="str">
        <f>'II. Datos  Ganaderos'!Q77</f>
        <v>  Otro cultivo para silo</v>
      </c>
      <c r="N78" s="675">
        <f>IF(O78=0,0,+'II. Datos  Ganaderos'!T79)</f>
        <v>0</v>
      </c>
      <c r="O78" s="1037">
        <f>+'VII. Impresión'!BY22</f>
        <v>0</v>
      </c>
      <c r="P78" s="675"/>
      <c r="AK78" s="689"/>
      <c r="AL78" s="689"/>
      <c r="AM78" s="689"/>
      <c r="AN78" s="689"/>
      <c r="AO78" s="689"/>
      <c r="AP78" s="689"/>
      <c r="BC78" s="1121" t="str">
        <f>+'V. Indicadores'!T116</f>
        <v>XXX</v>
      </c>
      <c r="BD78" s="706" t="str">
        <f>+'V. Indicadores'!U116</f>
        <v>$/ha</v>
      </c>
      <c r="BE78" s="1221">
        <f>+'V. Indicadores'!V116</f>
        <v>0</v>
      </c>
      <c r="BL78" s="1395"/>
      <c r="BM78" s="1395"/>
      <c r="BN78" s="1395"/>
      <c r="BO78" s="1395"/>
      <c r="BP78" s="1395"/>
      <c r="BQ78" s="1395"/>
      <c r="BR78" s="1395"/>
      <c r="BS78" s="1395"/>
      <c r="BT78" s="1395"/>
      <c r="BU78" s="1395"/>
    </row>
    <row r="79" spans="13:73" ht="16.5" customHeight="1">
      <c r="M79" s="966" t="str">
        <f>'II. Datos  Ganaderos'!Q78</f>
        <v>  Avena</v>
      </c>
      <c r="N79" s="675">
        <f>IF(O79=0,0,+'II. Datos  Ganaderos'!T80)</f>
        <v>0</v>
      </c>
      <c r="O79" s="1037">
        <f>+'VII. Impresión'!BY23</f>
        <v>0</v>
      </c>
      <c r="P79" s="675"/>
      <c r="AK79" s="689"/>
      <c r="AL79" s="689"/>
      <c r="AM79" s="689"/>
      <c r="AN79" s="689"/>
      <c r="AO79" s="689"/>
      <c r="AP79" s="689"/>
      <c r="BB79" s="608"/>
      <c r="BC79" s="1121" t="str">
        <f>+'V. Indicadores'!T117</f>
        <v>XXX</v>
      </c>
      <c r="BD79" s="706" t="str">
        <f>+'V. Indicadores'!U117</f>
        <v>$/ha</v>
      </c>
      <c r="BE79" s="1221">
        <f>+'V. Indicadores'!V117</f>
        <v>0</v>
      </c>
      <c r="BL79" s="1395"/>
      <c r="BM79" s="1395"/>
      <c r="BN79" s="1395"/>
      <c r="BO79" s="1395"/>
      <c r="BP79" s="1395"/>
      <c r="BQ79" s="1395"/>
      <c r="BR79" s="1395"/>
      <c r="BS79" s="1395"/>
      <c r="BT79" s="1395"/>
      <c r="BU79" s="1395"/>
    </row>
    <row r="80" spans="13:73" ht="16.5" customHeight="1">
      <c r="M80" s="966" t="str">
        <f>'II. Datos  Ganaderos'!Q79</f>
        <v>  Maíz para grano húmedo</v>
      </c>
      <c r="N80" s="675">
        <f>IF(O80=0,0,+'II. Datos  Ganaderos'!T81)</f>
        <v>0</v>
      </c>
      <c r="O80" s="1037">
        <f>+'VII. Impresión'!BY24</f>
        <v>0</v>
      </c>
      <c r="P80" s="675"/>
      <c r="AK80" s="689"/>
      <c r="AL80" s="689"/>
      <c r="AM80" s="689"/>
      <c r="AN80" s="689"/>
      <c r="AO80" s="689"/>
      <c r="AP80" s="689"/>
      <c r="BC80" s="1121" t="str">
        <f>+'V. Indicadores'!T118</f>
        <v>XXX</v>
      </c>
      <c r="BD80" s="706" t="str">
        <f>+'V. Indicadores'!U118</f>
        <v>$/ha</v>
      </c>
      <c r="BE80" s="1221">
        <f>+'V. Indicadores'!V118</f>
        <v>0</v>
      </c>
      <c r="BL80" s="1395"/>
      <c r="BM80" s="1395"/>
      <c r="BN80" s="1395"/>
      <c r="BO80" s="1395"/>
      <c r="BP80" s="1395"/>
      <c r="BQ80" s="1395"/>
      <c r="BR80" s="1395"/>
      <c r="BS80" s="1395"/>
      <c r="BT80" s="1395"/>
      <c r="BU80" s="1395"/>
    </row>
    <row r="81" spans="13:73" ht="16.5" customHeight="1">
      <c r="M81" s="966" t="str">
        <f>'II. Datos  Ganaderos'!Q80</f>
        <v>  Sorgo para grano húmedo</v>
      </c>
      <c r="N81" s="675">
        <f>IF(O81=0,0,+'II. Datos  Ganaderos'!T82)</f>
        <v>0</v>
      </c>
      <c r="O81" s="1037">
        <f>+'VII. Impresión'!BY25</f>
        <v>0</v>
      </c>
      <c r="P81" s="675"/>
      <c r="AI81" s="608"/>
      <c r="AK81" s="689"/>
      <c r="AL81" s="689"/>
      <c r="AM81" s="689"/>
      <c r="AN81" s="689"/>
      <c r="AO81" s="689"/>
      <c r="AP81" s="689"/>
      <c r="BC81" s="1122" t="str">
        <f>+'V. Indicadores'!T119</f>
        <v>XXX</v>
      </c>
      <c r="BD81" s="707" t="str">
        <f>+'V. Indicadores'!U119</f>
        <v>$/ha</v>
      </c>
      <c r="BE81" s="1234">
        <f>+'V. Indicadores'!V119</f>
        <v>0</v>
      </c>
      <c r="BL81" s="1395"/>
      <c r="BM81" s="1395"/>
      <c r="BN81" s="1395"/>
      <c r="BO81" s="1395"/>
      <c r="BP81" s="1395"/>
      <c r="BQ81" s="1395"/>
      <c r="BR81" s="1395"/>
      <c r="BS81" s="1395"/>
      <c r="BT81" s="1395"/>
      <c r="BU81" s="1395"/>
    </row>
    <row r="82" spans="13:73" ht="16.5" customHeight="1" thickBot="1">
      <c r="M82" s="966" t="str">
        <f>'II. Datos  Ganaderos'!Q81</f>
        <v>TOTAL OFERTA</v>
      </c>
      <c r="N82" s="1038"/>
      <c r="O82" s="1060">
        <f>+'VII. Impresión'!BY26</f>
        <v>0</v>
      </c>
      <c r="P82" s="608"/>
      <c r="Q82" s="607"/>
      <c r="Z82" s="603" t="s">
        <v>1201</v>
      </c>
      <c r="AI82" s="608"/>
      <c r="AK82" s="689"/>
      <c r="AL82" s="689"/>
      <c r="AM82" s="689"/>
      <c r="AN82" s="689"/>
      <c r="AO82" s="689"/>
      <c r="AP82" s="689"/>
      <c r="BC82" s="1119" t="str">
        <f>+'V. Indicadores'!T120</f>
        <v>Margen Bruto Promedio Agricola</v>
      </c>
      <c r="BD82" s="705" t="str">
        <f>+'V. Indicadores'!U120</f>
        <v>$/ha totales agricolas</v>
      </c>
      <c r="BE82" s="1120">
        <f>+'V. Indicadores'!V120</f>
        <v>0</v>
      </c>
      <c r="BL82" s="1395"/>
      <c r="BM82" s="1395"/>
      <c r="BN82" s="1395"/>
      <c r="BO82" s="1395"/>
      <c r="BP82" s="1395"/>
      <c r="BQ82" s="1395"/>
      <c r="BR82" s="1395"/>
      <c r="BS82" s="1395"/>
      <c r="BT82" s="1395"/>
      <c r="BU82" s="1395"/>
    </row>
    <row r="83" spans="13:73" ht="16.5" customHeight="1" thickBot="1">
      <c r="M83" s="971" t="str">
        <f>'II. Datos  Ganaderos'!Q82</f>
        <v>DEMANDA                               (EV)</v>
      </c>
      <c r="N83" s="972"/>
      <c r="O83" s="972"/>
      <c r="P83" s="972" t="str">
        <f>'II. Datos  Ganaderos'!T82</f>
        <v>Mcal</v>
      </c>
      <c r="Q83" s="1211">
        <f>'II. Datos  Ganaderos'!U82</f>
        <v>0</v>
      </c>
      <c r="Z83" s="1649" t="s">
        <v>1212</v>
      </c>
      <c r="AA83" s="1650"/>
      <c r="AB83" s="1650"/>
      <c r="AC83" s="1650"/>
      <c r="AD83" s="1650"/>
      <c r="AE83" s="1650"/>
      <c r="AF83" s="1650"/>
      <c r="AG83" s="1650"/>
      <c r="AH83" s="1651"/>
      <c r="AI83" s="608"/>
      <c r="AJ83" s="608"/>
      <c r="AK83" s="689"/>
      <c r="AL83" s="689"/>
      <c r="AM83" s="689"/>
      <c r="AN83" s="689"/>
      <c r="AO83" s="689"/>
      <c r="AP83" s="689"/>
      <c r="BC83" s="1123" t="str">
        <f>+'V. Indicadores'!T121</f>
        <v>Margen Bruto Promedio Agricola</v>
      </c>
      <c r="BD83" s="1124" t="str">
        <f>+'V. Indicadores'!U121</f>
        <v>$/ha efectiva agricola</v>
      </c>
      <c r="BE83" s="1010">
        <f>+'V. Indicadores'!V121</f>
        <v>0</v>
      </c>
      <c r="BL83" s="1395"/>
      <c r="BM83" s="1395"/>
      <c r="BN83" s="1395"/>
      <c r="BO83" s="1395"/>
      <c r="BP83" s="1395"/>
      <c r="BQ83" s="1395"/>
      <c r="BR83" s="1395"/>
      <c r="BS83" s="1395"/>
      <c r="BT83" s="1395"/>
      <c r="BU83" s="1395"/>
    </row>
    <row r="84" spans="13:73" ht="16.5" customHeight="1">
      <c r="M84" s="966" t="str">
        <f>'II. Datos  Ganaderos'!Q83</f>
        <v>OFERTA forrajes groseros     (EV)</v>
      </c>
      <c r="N84" s="675"/>
      <c r="O84" s="675"/>
      <c r="P84" s="675" t="str">
        <f>'II. Datos  Ganaderos'!T83</f>
        <v>Mcal</v>
      </c>
      <c r="Q84" s="1212">
        <f>'II. Datos  Ganaderos'!U83</f>
        <v>0</v>
      </c>
      <c r="Z84" s="1499" t="s">
        <v>1037</v>
      </c>
      <c r="AA84" s="612" t="s">
        <v>1211</v>
      </c>
      <c r="AB84" s="1498" t="s">
        <v>830</v>
      </c>
      <c r="AC84" s="1498" t="s">
        <v>1203</v>
      </c>
      <c r="AD84" s="612" t="s">
        <v>1205</v>
      </c>
      <c r="AE84" s="1498" t="s">
        <v>1206</v>
      </c>
      <c r="AF84" s="1498" t="s">
        <v>831</v>
      </c>
      <c r="AG84" s="1498" t="s">
        <v>1208</v>
      </c>
      <c r="AH84" s="1498" t="s">
        <v>664</v>
      </c>
      <c r="AI84" s="608"/>
      <c r="AK84" s="689"/>
      <c r="AL84" s="689"/>
      <c r="AM84" s="689"/>
      <c r="AN84" s="689"/>
      <c r="AO84" s="689"/>
      <c r="AP84" s="689"/>
      <c r="BC84" s="608"/>
      <c r="BD84" s="612"/>
      <c r="BE84" s="608"/>
      <c r="BL84" s="1395"/>
      <c r="BM84" s="1395"/>
      <c r="BN84" s="1395"/>
      <c r="BO84" s="1395"/>
      <c r="BP84" s="1395"/>
      <c r="BQ84" s="1395"/>
      <c r="BR84" s="1395"/>
      <c r="BS84" s="1395"/>
      <c r="BT84" s="1395"/>
      <c r="BU84" s="1395"/>
    </row>
    <row r="85" spans="13:73" ht="16.5" customHeight="1">
      <c r="M85" s="966" t="str">
        <f>'II. Datos  Ganaderos'!Q84</f>
        <v>BALANCE      preliminar          (EV)</v>
      </c>
      <c r="N85" s="675"/>
      <c r="O85" s="675"/>
      <c r="P85" s="675" t="str">
        <f>'II. Datos  Ganaderos'!T84</f>
        <v>Mcal</v>
      </c>
      <c r="Q85" s="1212">
        <f>'II. Datos  Ganaderos'!U84</f>
        <v>0</v>
      </c>
      <c r="Z85" s="634"/>
      <c r="AA85" s="620" t="s">
        <v>1210</v>
      </c>
      <c r="AB85" s="1496" t="s">
        <v>1202</v>
      </c>
      <c r="AC85" s="1496" t="s">
        <v>1204</v>
      </c>
      <c r="AD85" s="614"/>
      <c r="AE85" s="1496" t="s">
        <v>821</v>
      </c>
      <c r="AF85" s="1496" t="s">
        <v>1207</v>
      </c>
      <c r="AG85" s="1496" t="s">
        <v>256</v>
      </c>
      <c r="AH85" s="1496" t="s">
        <v>1209</v>
      </c>
      <c r="AI85" s="608"/>
      <c r="AK85" s="689"/>
      <c r="AL85" s="689"/>
      <c r="AM85" s="689"/>
      <c r="AN85" s="689"/>
      <c r="AO85" s="689"/>
      <c r="AP85" s="689"/>
      <c r="BC85" s="608"/>
      <c r="BE85" s="608"/>
      <c r="BL85" s="1395"/>
      <c r="BM85" s="1395"/>
      <c r="BN85" s="1395"/>
      <c r="BO85" s="1395"/>
      <c r="BP85" s="1395"/>
      <c r="BQ85" s="1395"/>
      <c r="BR85" s="1395"/>
      <c r="BS85" s="1395"/>
      <c r="BT85" s="1395"/>
      <c r="BU85" s="1395"/>
    </row>
    <row r="86" spans="13:73" ht="16.5" customHeight="1" thickBot="1">
      <c r="M86" s="1040" t="str">
        <f>'II. Datos  Ganaderos'!Q85</f>
        <v>CARGA (EV/HA GANADERA INVERNADA)</v>
      </c>
      <c r="N86" s="1041"/>
      <c r="O86" s="1041"/>
      <c r="P86" s="1041"/>
      <c r="Q86" s="1042">
        <f>'II. Datos  Ganaderos'!U85</f>
        <v>0</v>
      </c>
      <c r="Z86" s="634" t="str">
        <f>+DI47</f>
        <v>XXX</v>
      </c>
      <c r="AA86" s="634">
        <f>+CT4</f>
        <v>0</v>
      </c>
      <c r="AB86" s="634">
        <f>+CU4</f>
        <v>0</v>
      </c>
      <c r="AC86" s="634">
        <f>+CY4</f>
        <v>0</v>
      </c>
      <c r="AD86" s="1500">
        <f>IF(AC86=0,0,AC86/$AA$95)</f>
        <v>0</v>
      </c>
      <c r="AE86" s="1500">
        <f>IF(AA86=0,0,AA86/AC86)</f>
        <v>0</v>
      </c>
      <c r="AF86" s="1496">
        <f>+CV4</f>
        <v>0</v>
      </c>
      <c r="AG86" s="634">
        <f>+CW4</f>
        <v>0</v>
      </c>
      <c r="AH86" s="634">
        <f>+CX4</f>
        <v>0</v>
      </c>
      <c r="AI86" s="608"/>
      <c r="AK86" s="689"/>
      <c r="AL86" s="689"/>
      <c r="AM86" s="689"/>
      <c r="AN86" s="689"/>
      <c r="AO86" s="689"/>
      <c r="AP86" s="689"/>
      <c r="BL86" s="1395"/>
      <c r="BM86" s="1395"/>
      <c r="BN86" s="1395"/>
      <c r="BO86" s="1395"/>
      <c r="BP86" s="1395"/>
      <c r="BQ86" s="1395"/>
      <c r="BR86" s="1395"/>
      <c r="BS86" s="1395"/>
      <c r="BT86" s="1395"/>
      <c r="BU86" s="1395"/>
    </row>
    <row r="87" spans="13:73" ht="16.5" customHeight="1">
      <c r="M87" s="971" t="str">
        <f>'II. Datos  Ganaderos'!Q86</f>
        <v>CONCENTRADO DE AJUSTE</v>
      </c>
      <c r="N87" s="972"/>
      <c r="O87" s="1043"/>
      <c r="P87" s="1043" t="str">
        <f>'II. Datos  Ganaderos'!T86</f>
        <v>días/año</v>
      </c>
      <c r="Q87" s="1044" t="str">
        <f>'II. Datos  Ganaderos'!U86</f>
        <v>kg/año</v>
      </c>
      <c r="Z87" s="630" t="str">
        <f aca="true" t="shared" si="14" ref="Z87:Z94">+DI48</f>
        <v>XXX</v>
      </c>
      <c r="AA87" s="634">
        <f aca="true" t="shared" si="15" ref="AA87:AA94">+CT5</f>
        <v>0</v>
      </c>
      <c r="AB87" s="634">
        <f aca="true" t="shared" si="16" ref="AB87:AB94">+CU5</f>
        <v>0</v>
      </c>
      <c r="AC87" s="634">
        <f aca="true" t="shared" si="17" ref="AC87:AC94">+CY5</f>
        <v>0</v>
      </c>
      <c r="AD87" s="1500">
        <f aca="true" t="shared" si="18" ref="AD87:AD94">IF(AC87=0,0,AC87/$AA$95)</f>
        <v>0</v>
      </c>
      <c r="AE87" s="1500">
        <f aca="true" t="shared" si="19" ref="AE87:AE94">IF(AA87=0,0,AA87/AC87)</f>
        <v>0</v>
      </c>
      <c r="AF87" s="1496">
        <f aca="true" t="shared" si="20" ref="AF87:AF94">+CV5</f>
        <v>0</v>
      </c>
      <c r="AG87" s="634">
        <f aca="true" t="shared" si="21" ref="AG87:AG94">+CW5</f>
        <v>0</v>
      </c>
      <c r="AH87" s="634">
        <f aca="true" t="shared" si="22" ref="AH87:AH94">+CX5</f>
        <v>0</v>
      </c>
      <c r="AI87" s="608"/>
      <c r="AK87" s="689"/>
      <c r="AL87" s="689"/>
      <c r="AM87" s="689"/>
      <c r="AN87" s="689"/>
      <c r="AO87" s="689"/>
      <c r="AP87" s="689"/>
      <c r="BL87" s="1395"/>
      <c r="BM87" s="1395"/>
      <c r="BN87" s="1395"/>
      <c r="BO87" s="1395"/>
      <c r="BP87" s="1395"/>
      <c r="BQ87" s="1395"/>
      <c r="BR87" s="1395"/>
      <c r="BS87" s="1395"/>
      <c r="BT87" s="1395"/>
      <c r="BU87" s="1395"/>
    </row>
    <row r="88" spans="13:73" ht="16.5" customHeight="1">
      <c r="M88" s="966" t="str">
        <f>'II. Datos  Ganaderos'!Q87</f>
        <v>Novillos invernada</v>
      </c>
      <c r="N88" s="675"/>
      <c r="O88" s="681"/>
      <c r="P88" s="678">
        <f>'II. Datos  Ganaderos'!T87</f>
        <v>0</v>
      </c>
      <c r="Q88" s="1213">
        <f>'II. Datos  Ganaderos'!U87</f>
        <v>0</v>
      </c>
      <c r="Z88" s="630" t="str">
        <f t="shared" si="14"/>
        <v>XXX</v>
      </c>
      <c r="AA88" s="634">
        <f t="shared" si="15"/>
        <v>0</v>
      </c>
      <c r="AB88" s="634">
        <f t="shared" si="16"/>
        <v>0</v>
      </c>
      <c r="AC88" s="634">
        <f t="shared" si="17"/>
        <v>0</v>
      </c>
      <c r="AD88" s="1500">
        <f t="shared" si="18"/>
        <v>0</v>
      </c>
      <c r="AE88" s="1500">
        <f t="shared" si="19"/>
        <v>0</v>
      </c>
      <c r="AF88" s="1496">
        <f t="shared" si="20"/>
        <v>0</v>
      </c>
      <c r="AG88" s="634">
        <f t="shared" si="21"/>
        <v>0</v>
      </c>
      <c r="AH88" s="634">
        <f t="shared" si="22"/>
        <v>0</v>
      </c>
      <c r="AI88" s="608"/>
      <c r="AK88" s="689"/>
      <c r="AL88" s="689"/>
      <c r="AM88" s="689"/>
      <c r="AN88" s="689"/>
      <c r="AO88" s="689"/>
      <c r="AP88" s="689"/>
      <c r="BL88" s="1395"/>
      <c r="BM88" s="1395"/>
      <c r="BN88" s="1395"/>
      <c r="BO88" s="1395"/>
      <c r="BP88" s="1395"/>
      <c r="BQ88" s="1395"/>
      <c r="BR88" s="1395"/>
      <c r="BS88" s="1395"/>
      <c r="BT88" s="1395"/>
      <c r="BU88" s="1395"/>
    </row>
    <row r="89" spans="13:73" ht="16.5" customHeight="1">
      <c r="M89" s="966" t="str">
        <f>'II. Datos  Ganaderos'!Q88</f>
        <v>Novillitos invernada</v>
      </c>
      <c r="N89" s="675"/>
      <c r="O89" s="681"/>
      <c r="P89" s="678">
        <f>'II. Datos  Ganaderos'!T88</f>
        <v>0</v>
      </c>
      <c r="Q89" s="1213">
        <f>'II. Datos  Ganaderos'!U88</f>
        <v>0</v>
      </c>
      <c r="Z89" s="630" t="str">
        <f t="shared" si="14"/>
        <v>XXX</v>
      </c>
      <c r="AA89" s="634">
        <f t="shared" si="15"/>
        <v>0</v>
      </c>
      <c r="AB89" s="634">
        <f t="shared" si="16"/>
        <v>0</v>
      </c>
      <c r="AC89" s="634">
        <f t="shared" si="17"/>
        <v>0</v>
      </c>
      <c r="AD89" s="1500">
        <f t="shared" si="18"/>
        <v>0</v>
      </c>
      <c r="AE89" s="1500">
        <f t="shared" si="19"/>
        <v>0</v>
      </c>
      <c r="AF89" s="1496">
        <f t="shared" si="20"/>
        <v>0</v>
      </c>
      <c r="AG89" s="634">
        <f t="shared" si="21"/>
        <v>0</v>
      </c>
      <c r="AH89" s="634">
        <f t="shared" si="22"/>
        <v>0</v>
      </c>
      <c r="AI89" s="608"/>
      <c r="AK89" s="689"/>
      <c r="AL89" s="689"/>
      <c r="AM89" s="689"/>
      <c r="AN89" s="689"/>
      <c r="AO89" s="689"/>
      <c r="AP89" s="689"/>
      <c r="BL89" s="1395"/>
      <c r="BM89" s="1395"/>
      <c r="BN89" s="1395"/>
      <c r="BO89" s="1395"/>
      <c r="BP89" s="1395"/>
      <c r="BQ89" s="1395"/>
      <c r="BR89" s="1395"/>
      <c r="BS89" s="1395"/>
      <c r="BT89" s="1395"/>
      <c r="BU89" s="1395"/>
    </row>
    <row r="90" spans="13:73" ht="16.5" customHeight="1">
      <c r="M90" s="966" t="str">
        <f>'II. Datos  Ganaderos'!Q89</f>
        <v>Terneros invernada</v>
      </c>
      <c r="N90" s="675"/>
      <c r="O90" s="681"/>
      <c r="P90" s="678">
        <f>'II. Datos  Ganaderos'!T89</f>
        <v>0</v>
      </c>
      <c r="Q90" s="1213">
        <f>'II. Datos  Ganaderos'!U89</f>
        <v>0</v>
      </c>
      <c r="Z90" s="630" t="str">
        <f t="shared" si="14"/>
        <v>XXX</v>
      </c>
      <c r="AA90" s="634">
        <f t="shared" si="15"/>
        <v>0</v>
      </c>
      <c r="AB90" s="634">
        <f t="shared" si="16"/>
        <v>0</v>
      </c>
      <c r="AC90" s="634">
        <f t="shared" si="17"/>
        <v>0</v>
      </c>
      <c r="AD90" s="1500">
        <f t="shared" si="18"/>
        <v>0</v>
      </c>
      <c r="AE90" s="1500">
        <f t="shared" si="19"/>
        <v>0</v>
      </c>
      <c r="AF90" s="1496">
        <f t="shared" si="20"/>
        <v>0</v>
      </c>
      <c r="AG90" s="634">
        <f t="shared" si="21"/>
        <v>0</v>
      </c>
      <c r="AH90" s="634">
        <f t="shared" si="22"/>
        <v>0</v>
      </c>
      <c r="AI90" s="608"/>
      <c r="AK90" s="689"/>
      <c r="AL90" s="689"/>
      <c r="AM90" s="689"/>
      <c r="AN90" s="689"/>
      <c r="AO90" s="689"/>
      <c r="AP90" s="689"/>
      <c r="BL90" s="1395"/>
      <c r="BM90" s="1395"/>
      <c r="BN90" s="1395"/>
      <c r="BO90" s="1395"/>
      <c r="BP90" s="1395"/>
      <c r="BQ90" s="1395"/>
      <c r="BR90" s="1395"/>
      <c r="BS90" s="1395"/>
      <c r="BT90" s="1395"/>
      <c r="BU90" s="1395"/>
    </row>
    <row r="91" spans="13:73" ht="15" customHeight="1">
      <c r="M91" s="966" t="str">
        <f>'II. Datos  Ganaderos'!Q90</f>
        <v>Vaquillonas invernada</v>
      </c>
      <c r="N91" s="675"/>
      <c r="O91" s="681"/>
      <c r="P91" s="678">
        <f>'II. Datos  Ganaderos'!T90</f>
        <v>0</v>
      </c>
      <c r="Q91" s="1213">
        <f>'II. Datos  Ganaderos'!U90</f>
        <v>0</v>
      </c>
      <c r="Z91" s="630" t="str">
        <f t="shared" si="14"/>
        <v>XXX</v>
      </c>
      <c r="AA91" s="634">
        <f t="shared" si="15"/>
        <v>0</v>
      </c>
      <c r="AB91" s="634">
        <f t="shared" si="16"/>
        <v>0</v>
      </c>
      <c r="AC91" s="634">
        <f t="shared" si="17"/>
        <v>0</v>
      </c>
      <c r="AD91" s="1500">
        <f t="shared" si="18"/>
        <v>0</v>
      </c>
      <c r="AE91" s="1500">
        <f t="shared" si="19"/>
        <v>0</v>
      </c>
      <c r="AF91" s="1496">
        <f t="shared" si="20"/>
        <v>0</v>
      </c>
      <c r="AG91" s="634">
        <f t="shared" si="21"/>
        <v>0</v>
      </c>
      <c r="AH91" s="634">
        <f t="shared" si="22"/>
        <v>0</v>
      </c>
      <c r="AI91" s="608"/>
      <c r="AK91" s="689"/>
      <c r="AL91" s="689"/>
      <c r="AM91" s="689"/>
      <c r="AN91" s="689"/>
      <c r="AO91" s="689"/>
      <c r="AP91" s="689"/>
      <c r="BL91" s="1395"/>
      <c r="BM91" s="1395"/>
      <c r="BN91" s="1395"/>
      <c r="BO91" s="1395"/>
      <c r="BP91" s="1395"/>
      <c r="BQ91" s="1395"/>
      <c r="BR91" s="1395"/>
      <c r="BS91" s="1395"/>
      <c r="BT91" s="1395"/>
      <c r="BU91" s="1395"/>
    </row>
    <row r="92" spans="13:73" ht="15" customHeight="1">
      <c r="M92" s="966" t="str">
        <f>'II. Datos  Ganaderos'!Q91</f>
        <v>Vacas invernada</v>
      </c>
      <c r="N92" s="675"/>
      <c r="O92" s="681"/>
      <c r="P92" s="678">
        <f>'II. Datos  Ganaderos'!T91</f>
        <v>0</v>
      </c>
      <c r="Q92" s="1213">
        <f>'II. Datos  Ganaderos'!U91</f>
        <v>0</v>
      </c>
      <c r="Z92" s="630" t="str">
        <f t="shared" si="14"/>
        <v>XXX</v>
      </c>
      <c r="AA92" s="634">
        <f t="shared" si="15"/>
        <v>0</v>
      </c>
      <c r="AB92" s="634">
        <f t="shared" si="16"/>
        <v>0</v>
      </c>
      <c r="AC92" s="634">
        <f t="shared" si="17"/>
        <v>0</v>
      </c>
      <c r="AD92" s="1500">
        <f t="shared" si="18"/>
        <v>0</v>
      </c>
      <c r="AE92" s="1500">
        <f t="shared" si="19"/>
        <v>0</v>
      </c>
      <c r="AF92" s="1496">
        <f t="shared" si="20"/>
        <v>0</v>
      </c>
      <c r="AG92" s="634">
        <f t="shared" si="21"/>
        <v>0</v>
      </c>
      <c r="AH92" s="634">
        <f t="shared" si="22"/>
        <v>0</v>
      </c>
      <c r="AI92" s="608"/>
      <c r="AK92" s="689"/>
      <c r="AL92" s="689"/>
      <c r="AM92" s="689"/>
      <c r="AN92" s="689"/>
      <c r="AO92" s="689"/>
      <c r="AP92" s="689"/>
      <c r="BL92" s="1395"/>
      <c r="BM92" s="1395"/>
      <c r="BN92" s="1395"/>
      <c r="BO92" s="1395"/>
      <c r="BP92" s="1395"/>
      <c r="BQ92" s="1395"/>
      <c r="BR92" s="1395"/>
      <c r="BS92" s="1395"/>
      <c r="BT92" s="1395"/>
      <c r="BU92" s="1395"/>
    </row>
    <row r="93" spans="13:73" ht="15" customHeight="1">
      <c r="M93" s="1045" t="str">
        <f>'II. Datos  Ganaderos'!Q92</f>
        <v>Total concentrados (kg)</v>
      </c>
      <c r="N93" s="680"/>
      <c r="O93" s="1061"/>
      <c r="P93" s="682">
        <f>'II. Datos  Ganaderos'!T92</f>
        <v>0</v>
      </c>
      <c r="Q93" s="1214">
        <f>'II. Datos  Ganaderos'!U92</f>
        <v>0</v>
      </c>
      <c r="Z93" s="630" t="str">
        <f t="shared" si="14"/>
        <v>XXX</v>
      </c>
      <c r="AA93" s="630">
        <f t="shared" si="15"/>
        <v>0</v>
      </c>
      <c r="AB93" s="634">
        <f t="shared" si="16"/>
        <v>0</v>
      </c>
      <c r="AC93" s="634">
        <f t="shared" si="17"/>
        <v>0</v>
      </c>
      <c r="AD93" s="1500">
        <f t="shared" si="18"/>
        <v>0</v>
      </c>
      <c r="AE93" s="1500">
        <f t="shared" si="19"/>
        <v>0</v>
      </c>
      <c r="AF93" s="1496">
        <f t="shared" si="20"/>
        <v>0</v>
      </c>
      <c r="AG93" s="634">
        <f t="shared" si="21"/>
        <v>0</v>
      </c>
      <c r="AH93" s="634">
        <f t="shared" si="22"/>
        <v>0</v>
      </c>
      <c r="AI93" s="608"/>
      <c r="AK93" s="689"/>
      <c r="AL93" s="689"/>
      <c r="AM93" s="689"/>
      <c r="AN93" s="689"/>
      <c r="AO93" s="689"/>
      <c r="AP93" s="689"/>
      <c r="BL93" s="1395"/>
      <c r="BM93" s="1395"/>
      <c r="BN93" s="1395"/>
      <c r="BO93" s="1395"/>
      <c r="BP93" s="1395"/>
      <c r="BQ93" s="1395"/>
      <c r="BR93" s="1395"/>
      <c r="BS93" s="1395"/>
      <c r="BT93" s="1395"/>
      <c r="BU93" s="1395"/>
    </row>
    <row r="94" spans="13:73" ht="15" customHeight="1">
      <c r="M94" s="966" t="str">
        <f>'II. Datos  Ganaderos'!Q93</f>
        <v>Compra heno consumido (rollos)</v>
      </c>
      <c r="N94" s="675"/>
      <c r="O94" s="681"/>
      <c r="P94" s="678">
        <f>'II. Datos  Ganaderos'!T93</f>
        <v>0</v>
      </c>
      <c r="Q94" s="1213">
        <f>'II. Datos  Ganaderos'!U93</f>
        <v>0</v>
      </c>
      <c r="Z94" s="630" t="str">
        <f t="shared" si="14"/>
        <v>XXX</v>
      </c>
      <c r="AA94" s="630">
        <f t="shared" si="15"/>
        <v>0</v>
      </c>
      <c r="AB94" s="634">
        <f t="shared" si="16"/>
        <v>0</v>
      </c>
      <c r="AC94" s="634">
        <f t="shared" si="17"/>
        <v>0</v>
      </c>
      <c r="AD94" s="1500">
        <f t="shared" si="18"/>
        <v>0</v>
      </c>
      <c r="AE94" s="1500">
        <f t="shared" si="19"/>
        <v>0</v>
      </c>
      <c r="AF94" s="1496">
        <f t="shared" si="20"/>
        <v>0</v>
      </c>
      <c r="AG94" s="634">
        <f t="shared" si="21"/>
        <v>0</v>
      </c>
      <c r="AH94" s="634">
        <f t="shared" si="22"/>
        <v>0</v>
      </c>
      <c r="AK94" s="689"/>
      <c r="AL94" s="689"/>
      <c r="AM94" s="689"/>
      <c r="AN94" s="689"/>
      <c r="AO94" s="689"/>
      <c r="BL94" s="1395"/>
      <c r="BM94" s="1395"/>
      <c r="BN94" s="1395"/>
      <c r="BO94" s="1395"/>
      <c r="BP94" s="1395"/>
      <c r="BQ94" s="1395"/>
      <c r="BR94" s="1395"/>
      <c r="BS94" s="1395"/>
      <c r="BT94" s="1395"/>
      <c r="BU94" s="1395"/>
    </row>
    <row r="95" spans="13:73" ht="15" customHeight="1">
      <c r="M95" s="966" t="str">
        <f>'II. Datos  Ganaderos'!Q94</f>
        <v>Compra silo planta entera (kg MS)</v>
      </c>
      <c r="N95" s="675"/>
      <c r="O95" s="681"/>
      <c r="P95" s="678">
        <f>'II. Datos  Ganaderos'!T94</f>
        <v>0</v>
      </c>
      <c r="Q95" s="1213">
        <f>'II. Datos  Ganaderos'!U94</f>
        <v>0</v>
      </c>
      <c r="Z95" s="630" t="s">
        <v>718</v>
      </c>
      <c r="AA95" s="1497">
        <f>SUM(AA86:AA94)</f>
        <v>0</v>
      </c>
      <c r="AC95" s="1497">
        <f>SUM(AC86:AC94)</f>
        <v>0</v>
      </c>
      <c r="BL95" s="1395"/>
      <c r="BM95" s="1395"/>
      <c r="BN95" s="1395"/>
      <c r="BO95" s="1395"/>
      <c r="BP95" s="1395"/>
      <c r="BQ95" s="1395"/>
      <c r="BR95" s="1395"/>
      <c r="BS95" s="1395"/>
      <c r="BT95" s="1395"/>
      <c r="BU95" s="1395"/>
    </row>
    <row r="96" spans="13:73" ht="15" customHeight="1">
      <c r="M96" s="966" t="str">
        <f>'II. Datos  Ganaderos'!Q95</f>
        <v>SALDO EV</v>
      </c>
      <c r="N96" s="675"/>
      <c r="O96" s="681"/>
      <c r="P96" s="678">
        <f>'II. Datos  Ganaderos'!T95</f>
        <v>0</v>
      </c>
      <c r="Q96" s="1213">
        <f>'II. Datos  Ganaderos'!U95</f>
        <v>0</v>
      </c>
      <c r="Z96" s="608"/>
      <c r="AA96" s="608"/>
      <c r="BL96" s="1395"/>
      <c r="BM96" s="1395"/>
      <c r="BN96" s="1395"/>
      <c r="BO96" s="1395"/>
      <c r="BP96" s="1395"/>
      <c r="BQ96" s="1395"/>
      <c r="BR96" s="1395"/>
      <c r="BS96" s="1395"/>
      <c r="BT96" s="1395"/>
      <c r="BU96" s="1395"/>
    </row>
    <row r="97" spans="13:73" ht="15" customHeight="1">
      <c r="M97" s="966" t="str">
        <f>'II. Datos  Ganaderos'!Q96</f>
        <v>SALDO MCal</v>
      </c>
      <c r="N97" s="675"/>
      <c r="O97" s="678"/>
      <c r="P97" s="678">
        <f>'II. Datos  Ganaderos'!T96</f>
        <v>0</v>
      </c>
      <c r="Q97" s="1213">
        <f>'II. Datos  Ganaderos'!U96</f>
        <v>0</v>
      </c>
      <c r="Z97" s="603" t="s">
        <v>1213</v>
      </c>
      <c r="BL97" s="1395"/>
      <c r="BM97" s="1395"/>
      <c r="BN97" s="1395"/>
      <c r="BO97" s="1395"/>
      <c r="BP97" s="1395"/>
      <c r="BQ97" s="1395"/>
      <c r="BR97" s="1395"/>
      <c r="BS97" s="1395"/>
      <c r="BT97" s="1395"/>
      <c r="BU97" s="1395"/>
    </row>
    <row r="98" spans="13:73" ht="15" customHeight="1">
      <c r="M98" s="966" t="str">
        <f>'II. Datos  Ganaderos'!Q97</f>
        <v>Margen de seguridad</v>
      </c>
      <c r="N98" s="675"/>
      <c r="O98" s="675"/>
      <c r="P98" s="678">
        <f>'II. Datos  Ganaderos'!T97</f>
        <v>0</v>
      </c>
      <c r="Q98" s="1215">
        <f>'II. Datos  Ganaderos'!U97</f>
        <v>0</v>
      </c>
      <c r="AA98" s="627" t="s">
        <v>1037</v>
      </c>
      <c r="AB98" s="628"/>
      <c r="AC98" s="628"/>
      <c r="AD98" s="628"/>
      <c r="AE98" s="629"/>
      <c r="BL98" s="1395"/>
      <c r="BM98" s="1395"/>
      <c r="BN98" s="1395"/>
      <c r="BO98" s="1395"/>
      <c r="BP98" s="1395"/>
      <c r="BQ98" s="1395"/>
      <c r="BR98" s="1395"/>
      <c r="BS98" s="1395"/>
      <c r="BT98" s="1395"/>
      <c r="BU98" s="1395"/>
    </row>
    <row r="99" spans="13:73" ht="15" customHeight="1">
      <c r="M99" s="1049" t="str">
        <f>'II. Datos  Ganaderos'!Q98</f>
        <v>RESERVAS PROPIAS CONSUMIDAS</v>
      </c>
      <c r="N99" s="685" t="str">
        <f>'II. Datos  Ganaderos'!R98</f>
        <v>Silo Pack</v>
      </c>
      <c r="O99" s="685" t="str">
        <f>'II. Datos  Ganaderos'!S98</f>
        <v>Fardos</v>
      </c>
      <c r="P99" s="685" t="str">
        <f>'II. Datos  Ganaderos'!T98</f>
        <v>R. Moha/año</v>
      </c>
      <c r="Q99" s="1050" t="str">
        <f>'II. Datos  Ganaderos'!U98</f>
        <v>Rollos Alf./año</v>
      </c>
      <c r="Z99" s="630"/>
      <c r="AA99" s="631" t="str">
        <f>+DI47</f>
        <v>XXX</v>
      </c>
      <c r="AB99" s="631" t="str">
        <f>+DI48</f>
        <v>XXX</v>
      </c>
      <c r="AC99" s="631" t="str">
        <f>+DI49</f>
        <v>XXX</v>
      </c>
      <c r="AD99" s="631" t="str">
        <f>+DI50</f>
        <v>XXX</v>
      </c>
      <c r="AE99" s="631" t="str">
        <f>+DI51</f>
        <v>XXX</v>
      </c>
      <c r="BL99" s="1395"/>
      <c r="BM99" s="1395"/>
      <c r="BN99" s="1395"/>
      <c r="BO99" s="1395"/>
      <c r="BP99" s="1395"/>
      <c r="BQ99" s="1395"/>
      <c r="BR99" s="1395"/>
      <c r="BS99" s="1395"/>
      <c r="BT99" s="1395"/>
      <c r="BU99" s="1395"/>
    </row>
    <row r="100" spans="13:73" ht="15" customHeight="1">
      <c r="M100" s="1062" t="str">
        <f>'II. Datos  Ganaderos'!Q99</f>
        <v>Novillos invernada</v>
      </c>
      <c r="N100" s="687">
        <f>'II. Datos  Ganaderos'!R99</f>
        <v>0</v>
      </c>
      <c r="O100" s="687">
        <f>'II. Datos  Ganaderos'!S99</f>
        <v>0</v>
      </c>
      <c r="P100" s="687">
        <f>'II. Datos  Ganaderos'!T99</f>
        <v>0</v>
      </c>
      <c r="Q100" s="1063">
        <f>'II. Datos  Ganaderos'!U99</f>
        <v>0</v>
      </c>
      <c r="Z100" s="632" t="s">
        <v>1038</v>
      </c>
      <c r="AA100" s="633" t="s">
        <v>511</v>
      </c>
      <c r="AB100" s="633" t="s">
        <v>511</v>
      </c>
      <c r="AC100" s="633" t="s">
        <v>511</v>
      </c>
      <c r="AD100" s="633" t="s">
        <v>511</v>
      </c>
      <c r="AE100" s="633" t="s">
        <v>511</v>
      </c>
      <c r="AF100" s="612"/>
      <c r="AG100" s="612"/>
      <c r="AH100" s="612"/>
      <c r="AI100" s="612"/>
      <c r="BL100" s="1395"/>
      <c r="BM100" s="1395"/>
      <c r="BN100" s="1395"/>
      <c r="BO100" s="1395"/>
      <c r="BP100" s="1395"/>
      <c r="BQ100" s="1395"/>
      <c r="BR100" s="1395"/>
      <c r="BS100" s="1395"/>
      <c r="BT100" s="1395"/>
      <c r="BU100" s="1395"/>
    </row>
    <row r="101" spans="13:73" ht="15" customHeight="1">
      <c r="M101" s="1064" t="str">
        <f>'II. Datos  Ganaderos'!Q100</f>
        <v>Novillitos invernada</v>
      </c>
      <c r="N101" s="683">
        <f>'II. Datos  Ganaderos'!R100</f>
        <v>0</v>
      </c>
      <c r="O101" s="683">
        <f>'II. Datos  Ganaderos'!S100</f>
        <v>0</v>
      </c>
      <c r="P101" s="683">
        <f>'II. Datos  Ganaderos'!T100</f>
        <v>0</v>
      </c>
      <c r="Q101" s="1065">
        <f>'II. Datos  Ganaderos'!U100</f>
        <v>0</v>
      </c>
      <c r="Z101" s="619" t="s">
        <v>1039</v>
      </c>
      <c r="AA101" s="619">
        <f>+'III. Datos Agrícolas'!D42</f>
        <v>0</v>
      </c>
      <c r="AB101" s="619">
        <f>+'III. Datos Agrícolas'!I42</f>
        <v>0</v>
      </c>
      <c r="AC101" s="619">
        <f>+'III. Datos Agrícolas'!N42</f>
        <v>0</v>
      </c>
      <c r="AD101" s="619">
        <f>+'III. Datos Agrícolas'!S42</f>
        <v>0</v>
      </c>
      <c r="AE101" s="619">
        <f>+'III. Datos Agrícolas'!X42</f>
        <v>0</v>
      </c>
      <c r="AF101" s="612"/>
      <c r="AG101" s="612"/>
      <c r="AH101" s="612"/>
      <c r="AI101" s="612"/>
      <c r="BL101" s="1395"/>
      <c r="BM101" s="1395"/>
      <c r="BN101" s="1395"/>
      <c r="BO101" s="1395"/>
      <c r="BP101" s="1395"/>
      <c r="BQ101" s="1395"/>
      <c r="BR101" s="1395"/>
      <c r="BS101" s="1395"/>
      <c r="BT101" s="1395"/>
      <c r="BU101" s="1395"/>
    </row>
    <row r="102" spans="13:73" ht="15" customHeight="1">
      <c r="M102" s="1064" t="str">
        <f>'II. Datos  Ganaderos'!Q101</f>
        <v>Terneros invernada</v>
      </c>
      <c r="N102" s="683">
        <f>'II. Datos  Ganaderos'!R101</f>
        <v>0</v>
      </c>
      <c r="O102" s="683">
        <f>'II. Datos  Ganaderos'!S101</f>
        <v>0</v>
      </c>
      <c r="P102" s="683">
        <f>'II. Datos  Ganaderos'!T101</f>
        <v>0</v>
      </c>
      <c r="Q102" s="1066">
        <f>'II. Datos  Ganaderos'!U101</f>
        <v>0</v>
      </c>
      <c r="Z102" s="619" t="s">
        <v>1040</v>
      </c>
      <c r="AA102" s="619">
        <f>+'III. Datos Agrícolas'!D66</f>
        <v>0</v>
      </c>
      <c r="AB102" s="619">
        <f>+'III. Datos Agrícolas'!I66</f>
        <v>0</v>
      </c>
      <c r="AC102" s="619">
        <f>+'III. Datos Agrícolas'!N66</f>
        <v>0</v>
      </c>
      <c r="AD102" s="619">
        <f>+'III. Datos Agrícolas'!S66</f>
        <v>0</v>
      </c>
      <c r="AE102" s="619">
        <f>+'III. Datos Agrícolas'!X66</f>
        <v>0</v>
      </c>
      <c r="AF102" s="608"/>
      <c r="AG102" s="612"/>
      <c r="AH102" s="608"/>
      <c r="AI102" s="608"/>
      <c r="BL102" s="1395"/>
      <c r="BM102" s="1395"/>
      <c r="BN102" s="1395"/>
      <c r="BO102" s="1395"/>
      <c r="BP102" s="1395"/>
      <c r="BQ102" s="1395"/>
      <c r="BR102" s="1395"/>
      <c r="BS102" s="1395"/>
      <c r="BT102" s="1395"/>
      <c r="BU102" s="1395"/>
    </row>
    <row r="103" spans="13:73" ht="15" customHeight="1">
      <c r="M103" s="1064" t="str">
        <f>'II. Datos  Ganaderos'!Q102</f>
        <v>Vaquillonas invernada</v>
      </c>
      <c r="N103" s="683">
        <f>'II. Datos  Ganaderos'!R102</f>
        <v>0</v>
      </c>
      <c r="O103" s="683">
        <f>'II. Datos  Ganaderos'!S102</f>
        <v>0</v>
      </c>
      <c r="P103" s="683">
        <f>'II. Datos  Ganaderos'!T102</f>
        <v>0</v>
      </c>
      <c r="Q103" s="1065">
        <f>'II. Datos  Ganaderos'!U102</f>
        <v>0</v>
      </c>
      <c r="Z103" s="619" t="s">
        <v>1041</v>
      </c>
      <c r="AA103" s="619">
        <f>+'III. Datos Agrícolas'!D68</f>
        <v>0</v>
      </c>
      <c r="AB103" s="619">
        <f>+'III. Datos Agrícolas'!I68</f>
        <v>0</v>
      </c>
      <c r="AC103" s="619">
        <f>+'III. Datos Agrícolas'!N68</f>
        <v>0</v>
      </c>
      <c r="AD103" s="619">
        <f>+'III. Datos Agrícolas'!S68</f>
        <v>0</v>
      </c>
      <c r="AE103" s="619">
        <f>+'III. Datos Agrícolas'!X68</f>
        <v>0</v>
      </c>
      <c r="AF103" s="608"/>
      <c r="AG103" s="612"/>
      <c r="AH103" s="608"/>
      <c r="AI103" s="608"/>
      <c r="BL103" s="1395"/>
      <c r="BM103" s="1395"/>
      <c r="BN103" s="1395"/>
      <c r="BO103" s="1395"/>
      <c r="BP103" s="1395"/>
      <c r="BQ103" s="1395"/>
      <c r="BR103" s="1395"/>
      <c r="BS103" s="1395"/>
      <c r="BT103" s="1395"/>
      <c r="BU103" s="1395"/>
    </row>
    <row r="104" spans="13:73" ht="15" customHeight="1">
      <c r="M104" s="1064" t="str">
        <f>'II. Datos  Ganaderos'!Q103</f>
        <v>Vacas invernada</v>
      </c>
      <c r="N104" s="683">
        <f>'II. Datos  Ganaderos'!R103</f>
        <v>0</v>
      </c>
      <c r="O104" s="683">
        <f>'II. Datos  Ganaderos'!S103</f>
        <v>0</v>
      </c>
      <c r="P104" s="683">
        <f>'II. Datos  Ganaderos'!T103</f>
        <v>0</v>
      </c>
      <c r="Q104" s="1065">
        <f>'II. Datos  Ganaderos'!U103</f>
        <v>0</v>
      </c>
      <c r="Z104" s="634" t="s">
        <v>1042</v>
      </c>
      <c r="AA104" s="634">
        <f>+'III. Datos Agrícolas'!D70</f>
        <v>0</v>
      </c>
      <c r="AB104" s="634">
        <f>+'III. Datos Agrícolas'!I70</f>
        <v>0</v>
      </c>
      <c r="AC104" s="634">
        <f>+'III. Datos Agrícolas'!N70</f>
        <v>0</v>
      </c>
      <c r="AD104" s="634">
        <f>+'III. Datos Agrícolas'!S70</f>
        <v>0</v>
      </c>
      <c r="AE104" s="634">
        <f>+'III. Datos Agrícolas'!X70</f>
        <v>0</v>
      </c>
      <c r="AF104" s="608"/>
      <c r="AG104" s="612"/>
      <c r="AH104" s="608"/>
      <c r="AI104" s="608"/>
      <c r="BL104" s="1395"/>
      <c r="BM104" s="1395"/>
      <c r="BN104" s="1395"/>
      <c r="BO104" s="1395"/>
      <c r="BP104" s="1395"/>
      <c r="BQ104" s="1395"/>
      <c r="BR104" s="1395"/>
      <c r="BS104" s="1395"/>
      <c r="BT104" s="1395"/>
      <c r="BU104" s="1395"/>
    </row>
    <row r="105" spans="13:73" ht="15" customHeight="1">
      <c r="M105" s="1069" t="str">
        <f>'II. Datos  Ganaderos'!Q104</f>
        <v>Total rollos/año</v>
      </c>
      <c r="N105" s="1070">
        <f>'II. Datos  Ganaderos'!R104</f>
        <v>0</v>
      </c>
      <c r="O105" s="1070">
        <f>'II. Datos  Ganaderos'!S104</f>
        <v>0</v>
      </c>
      <c r="P105" s="1070">
        <f>'II. Datos  Ganaderos'!T104</f>
        <v>0</v>
      </c>
      <c r="Q105" s="1071">
        <f>'II. Datos  Ganaderos'!U104</f>
        <v>0</v>
      </c>
      <c r="Z105" s="636" t="s">
        <v>67</v>
      </c>
      <c r="AA105" s="630">
        <f>SUM(AA101:AA104)</f>
        <v>0</v>
      </c>
      <c r="AB105" s="630">
        <f>SUM(AB101:AB104)</f>
        <v>0</v>
      </c>
      <c r="AC105" s="630">
        <f>SUM(AC101:AC104)</f>
        <v>0</v>
      </c>
      <c r="AD105" s="630">
        <f>SUM(AD101:AD104)</f>
        <v>0</v>
      </c>
      <c r="AE105" s="630">
        <f>SUM(AE101:AE104)</f>
        <v>0</v>
      </c>
      <c r="AF105" s="608"/>
      <c r="AG105" s="612"/>
      <c r="AH105" s="608"/>
      <c r="AI105" s="608"/>
      <c r="BL105" s="1395"/>
      <c r="BM105" s="1395"/>
      <c r="BN105" s="1395"/>
      <c r="BO105" s="1395"/>
      <c r="BP105" s="1395"/>
      <c r="BQ105" s="1395"/>
      <c r="BR105" s="1395"/>
      <c r="BS105" s="1395"/>
      <c r="BT105" s="1395"/>
      <c r="BU105" s="1395"/>
    </row>
    <row r="106" spans="13:73" ht="15" customHeight="1">
      <c r="M106" s="966" t="str">
        <f>'II. Datos  Ganaderos'!Q105</f>
        <v>Silo (ha-año)</v>
      </c>
      <c r="N106" s="675"/>
      <c r="O106" s="675"/>
      <c r="P106" s="675"/>
      <c r="Q106" s="1037">
        <f>'II. Datos  Ganaderos'!U105</f>
        <v>0</v>
      </c>
      <c r="Z106" s="632" t="s">
        <v>660</v>
      </c>
      <c r="AA106" s="633" t="s">
        <v>805</v>
      </c>
      <c r="AB106" s="633" t="s">
        <v>805</v>
      </c>
      <c r="AC106" s="633" t="s">
        <v>805</v>
      </c>
      <c r="AD106" s="633" t="s">
        <v>805</v>
      </c>
      <c r="AE106" s="633" t="s">
        <v>805</v>
      </c>
      <c r="AF106" s="608"/>
      <c r="AG106" s="612"/>
      <c r="AH106" s="608"/>
      <c r="AI106" s="608"/>
      <c r="BL106" s="1395"/>
      <c r="BM106" s="1395"/>
      <c r="BN106" s="1395"/>
      <c r="BO106" s="1395"/>
      <c r="BP106" s="1395"/>
      <c r="BQ106" s="1395"/>
      <c r="BR106" s="1395"/>
      <c r="BS106" s="1395"/>
      <c r="BT106" s="1395"/>
      <c r="BU106" s="1395"/>
    </row>
    <row r="107" spans="13:73" ht="15" customHeight="1">
      <c r="M107" s="1045" t="str">
        <f>'II. Datos  Ganaderos'!Q106</f>
        <v>Control confeccion rollos</v>
      </c>
      <c r="N107" s="680"/>
      <c r="O107" s="680"/>
      <c r="P107" s="680"/>
      <c r="Q107" s="1055" t="str">
        <f>'II. Datos  Ganaderos'!U106</f>
        <v>Cant. maxima</v>
      </c>
      <c r="Z107" s="619" t="s">
        <v>1043</v>
      </c>
      <c r="AA107" s="637">
        <f>+'III. Datos Agrícolas'!C77</f>
        <v>0</v>
      </c>
      <c r="AB107" s="637">
        <f>+'III. Datos Agrícolas'!H77</f>
        <v>0</v>
      </c>
      <c r="AC107" s="637">
        <f>+'III. Datos Agrícolas'!M77</f>
        <v>0</v>
      </c>
      <c r="AD107" s="637">
        <f>+'III. Datos Agrícolas'!R77</f>
        <v>0</v>
      </c>
      <c r="AE107" s="637">
        <f>+'III. Datos Agrícolas'!W77</f>
        <v>0</v>
      </c>
      <c r="AF107" s="608"/>
      <c r="AG107" s="612"/>
      <c r="AH107" s="608"/>
      <c r="AI107" s="608"/>
      <c r="BL107" s="1395"/>
      <c r="BM107" s="1395"/>
      <c r="BN107" s="1395"/>
      <c r="BO107" s="1395"/>
      <c r="BP107" s="1395"/>
      <c r="BQ107" s="1395"/>
      <c r="BR107" s="1395"/>
      <c r="BS107" s="1395"/>
      <c r="BT107" s="1395"/>
      <c r="BU107" s="1395"/>
    </row>
    <row r="108" spans="13:73" ht="15" customHeight="1">
      <c r="M108" s="966" t="str">
        <f>'II. Datos  Ganaderos'!Q107</f>
        <v>Rollos moha</v>
      </c>
      <c r="N108" s="675"/>
      <c r="O108" s="675"/>
      <c r="P108" s="675" t="str">
        <f>'II. Datos  Ganaderos'!T107</f>
        <v>(rollos/año)</v>
      </c>
      <c r="Q108" s="1037">
        <f>'II. Datos  Ganaderos'!U107</f>
        <v>0</v>
      </c>
      <c r="Z108" s="619" t="s">
        <v>1044</v>
      </c>
      <c r="AA108" s="637">
        <f>SUM('III. Datos Agrícolas'!C79:C83)</f>
        <v>0</v>
      </c>
      <c r="AB108" s="637">
        <f>SUM('III. Datos Agrícolas'!H79:H83)</f>
        <v>0</v>
      </c>
      <c r="AC108" s="637">
        <f>SUM('III. Datos Agrícolas'!M79:M83)</f>
        <v>0</v>
      </c>
      <c r="AD108" s="637">
        <f>SUM('III. Datos Agrícolas'!R79:R83)</f>
        <v>0</v>
      </c>
      <c r="AE108" s="637">
        <f>SUM('III. Datos Agrícolas'!W79:W83)</f>
        <v>0</v>
      </c>
      <c r="AF108" s="608"/>
      <c r="AG108" s="612"/>
      <c r="AH108" s="608"/>
      <c r="AI108" s="608"/>
      <c r="BL108" s="1395"/>
      <c r="BM108" s="1395"/>
      <c r="BN108" s="1395"/>
      <c r="BO108" s="1395"/>
      <c r="BP108" s="1395"/>
      <c r="BQ108" s="1395"/>
      <c r="BR108" s="1395"/>
      <c r="BS108" s="1395"/>
      <c r="BT108" s="1395"/>
      <c r="BU108" s="1395"/>
    </row>
    <row r="109" spans="13:73" ht="15" customHeight="1">
      <c r="M109" s="966" t="str">
        <f>'II. Datos  Ganaderos'!Q108</f>
        <v>Rollos alfalfa</v>
      </c>
      <c r="N109" s="675"/>
      <c r="O109" s="675"/>
      <c r="P109" s="675" t="str">
        <f>'II. Datos  Ganaderos'!T108</f>
        <v>(rollos/año)</v>
      </c>
      <c r="Q109" s="1037">
        <f>'II. Datos  Ganaderos'!U108</f>
        <v>0</v>
      </c>
      <c r="Z109" s="634" t="s">
        <v>1045</v>
      </c>
      <c r="AA109" s="638">
        <f>+'III. Datos Agrícolas'!C84</f>
        <v>0</v>
      </c>
      <c r="AB109" s="638">
        <f>+'III. Datos Agrícolas'!H84</f>
        <v>0</v>
      </c>
      <c r="AC109" s="638">
        <f>+'III. Datos Agrícolas'!M84</f>
        <v>0</v>
      </c>
      <c r="AD109" s="638">
        <f>+'III. Datos Agrícolas'!R84</f>
        <v>0</v>
      </c>
      <c r="AE109" s="638">
        <f>+'III. Datos Agrícolas'!W84</f>
        <v>0</v>
      </c>
      <c r="AF109" s="608"/>
      <c r="AG109" s="612"/>
      <c r="AH109" s="608"/>
      <c r="AI109" s="608"/>
      <c r="BL109" s="1395"/>
      <c r="BM109" s="1395"/>
      <c r="BN109" s="1395"/>
      <c r="BO109" s="1395"/>
      <c r="BP109" s="1395"/>
      <c r="BQ109" s="1395"/>
      <c r="BR109" s="1395"/>
      <c r="BS109" s="1395"/>
      <c r="BT109" s="1395"/>
      <c r="BU109" s="1395"/>
    </row>
    <row r="110" spans="13:73" ht="15" customHeight="1" thickBot="1">
      <c r="M110" s="968" t="str">
        <f>'II. Datos  Ganaderos'!Q109</f>
        <v>Alfalfa para rollos </v>
      </c>
      <c r="N110" s="969"/>
      <c r="O110" s="969"/>
      <c r="P110" s="969" t="str">
        <f>'II. Datos  Ganaderos'!T109</f>
        <v>%</v>
      </c>
      <c r="Q110" s="1056">
        <f>'II. Datos  Ganaderos'!U109</f>
        <v>0</v>
      </c>
      <c r="Z110" s="636" t="s">
        <v>67</v>
      </c>
      <c r="AA110" s="639">
        <f>SUM(AA107:AA109)</f>
        <v>0</v>
      </c>
      <c r="AB110" s="639">
        <f>SUM(AB107:AB109)</f>
        <v>0</v>
      </c>
      <c r="AC110" s="639">
        <f>SUM(AC107:AC109)</f>
        <v>0</v>
      </c>
      <c r="AD110" s="639">
        <f>SUM(AD107:AD109)</f>
        <v>0</v>
      </c>
      <c r="AE110" s="639">
        <f>SUM(AE107:AE109)</f>
        <v>0</v>
      </c>
      <c r="AF110" s="608"/>
      <c r="AG110" s="612"/>
      <c r="AH110" s="608"/>
      <c r="AI110" s="608"/>
      <c r="BL110" s="1395"/>
      <c r="BM110" s="1395"/>
      <c r="BN110" s="1395"/>
      <c r="BO110" s="1395"/>
      <c r="BP110" s="1395"/>
      <c r="BQ110" s="1395"/>
      <c r="BR110" s="1395"/>
      <c r="BS110" s="1395"/>
      <c r="BT110" s="1395"/>
      <c r="BU110" s="1395"/>
    </row>
    <row r="111" spans="12:73" ht="15" customHeight="1">
      <c r="L111" s="608"/>
      <c r="M111" s="675"/>
      <c r="N111" s="675"/>
      <c r="O111" s="675"/>
      <c r="P111" s="675"/>
      <c r="Q111" s="675"/>
      <c r="R111" s="608"/>
      <c r="Z111" s="640"/>
      <c r="AA111" s="633" t="s">
        <v>511</v>
      </c>
      <c r="AB111" s="633" t="s">
        <v>511</v>
      </c>
      <c r="AC111" s="633" t="s">
        <v>511</v>
      </c>
      <c r="AD111" s="633" t="s">
        <v>511</v>
      </c>
      <c r="AE111" s="633" t="s">
        <v>511</v>
      </c>
      <c r="BL111" s="1395"/>
      <c r="BM111" s="1395"/>
      <c r="BN111" s="1395"/>
      <c r="BO111" s="1395"/>
      <c r="BP111" s="1395"/>
      <c r="BQ111" s="1395"/>
      <c r="BR111" s="1395"/>
      <c r="BS111" s="1395"/>
      <c r="BT111" s="1395"/>
      <c r="BU111" s="1395"/>
    </row>
    <row r="112" spans="12:73" ht="15" customHeight="1">
      <c r="L112" s="608"/>
      <c r="M112" s="675"/>
      <c r="N112" s="675"/>
      <c r="O112" s="675"/>
      <c r="P112" s="675"/>
      <c r="Q112" s="675"/>
      <c r="R112" s="608"/>
      <c r="Z112" s="634" t="s">
        <v>1046</v>
      </c>
      <c r="AA112" s="634">
        <f>+'VII. Impresión'!CX18</f>
        <v>0</v>
      </c>
      <c r="AB112" s="634">
        <f>+'VII. Impresión'!CX19</f>
        <v>0</v>
      </c>
      <c r="AC112" s="634">
        <f>+'VII. Impresión'!CX20</f>
        <v>0</v>
      </c>
      <c r="AD112" s="634">
        <f>+'VII. Impresión'!CX21</f>
        <v>0</v>
      </c>
      <c r="AE112" s="634">
        <f>+'VII. Impresión'!CX22</f>
        <v>0</v>
      </c>
      <c r="BL112" s="1395"/>
      <c r="BM112" s="1395"/>
      <c r="BN112" s="1395"/>
      <c r="BO112" s="1395"/>
      <c r="BP112" s="1395"/>
      <c r="BQ112" s="1395"/>
      <c r="BR112" s="1395"/>
      <c r="BS112" s="1395"/>
      <c r="BT112" s="1395"/>
      <c r="BU112" s="1395"/>
    </row>
    <row r="113" spans="12:73" ht="15" customHeight="1">
      <c r="L113" s="608"/>
      <c r="M113" s="675"/>
      <c r="N113" s="675"/>
      <c r="O113" s="675"/>
      <c r="P113" s="675"/>
      <c r="Q113" s="675"/>
      <c r="R113" s="608"/>
      <c r="Z113" s="630" t="s">
        <v>1214</v>
      </c>
      <c r="AA113" s="630">
        <f>+CR18</f>
        <v>0</v>
      </c>
      <c r="AB113" s="630">
        <f>+CR19</f>
        <v>0</v>
      </c>
      <c r="AC113" s="630">
        <f>+CR20</f>
        <v>0</v>
      </c>
      <c r="AD113" s="630">
        <f>+CR21</f>
        <v>0</v>
      </c>
      <c r="AE113" s="630">
        <f>+CR22</f>
        <v>0</v>
      </c>
      <c r="BL113" s="1395"/>
      <c r="BM113" s="1395"/>
      <c r="BN113" s="1395"/>
      <c r="BO113" s="1395"/>
      <c r="BP113" s="1395"/>
      <c r="BQ113" s="1395"/>
      <c r="BR113" s="1395"/>
      <c r="BS113" s="1395"/>
      <c r="BT113" s="1395"/>
      <c r="BU113" s="1395"/>
    </row>
    <row r="114" spans="12:73" ht="15" customHeight="1">
      <c r="L114" s="608"/>
      <c r="M114" s="675"/>
      <c r="N114" s="675"/>
      <c r="O114" s="675"/>
      <c r="P114" s="675"/>
      <c r="Q114" s="675"/>
      <c r="R114" s="608"/>
      <c r="Z114" s="630" t="s">
        <v>1215</v>
      </c>
      <c r="AA114" s="630">
        <f>+CV18</f>
        <v>0</v>
      </c>
      <c r="AB114" s="630">
        <f>+CV19</f>
        <v>0</v>
      </c>
      <c r="AC114" s="630">
        <f>+CV20</f>
        <v>0</v>
      </c>
      <c r="AD114" s="630">
        <f>+CV21</f>
        <v>0</v>
      </c>
      <c r="AE114" s="630">
        <f>+CV22</f>
        <v>0</v>
      </c>
      <c r="BL114" s="1395"/>
      <c r="BM114" s="1395"/>
      <c r="BN114" s="1395"/>
      <c r="BO114" s="1395"/>
      <c r="BP114" s="1395"/>
      <c r="BQ114" s="1395"/>
      <c r="BR114" s="1395"/>
      <c r="BS114" s="1395"/>
      <c r="BT114" s="1395"/>
      <c r="BU114" s="1395"/>
    </row>
    <row r="115" spans="12:73" ht="15" customHeight="1">
      <c r="L115" s="608"/>
      <c r="M115" s="675"/>
      <c r="N115" s="675"/>
      <c r="O115" s="675"/>
      <c r="P115" s="675"/>
      <c r="Q115" s="960"/>
      <c r="R115" s="608"/>
      <c r="Z115" s="630" t="s">
        <v>993</v>
      </c>
      <c r="AA115" s="630">
        <f>+CW18</f>
        <v>0</v>
      </c>
      <c r="AB115" s="630">
        <f>+CW19</f>
        <v>0</v>
      </c>
      <c r="AC115" s="630">
        <f>+CW20</f>
        <v>0</v>
      </c>
      <c r="AD115" s="630">
        <f>+CW21</f>
        <v>0</v>
      </c>
      <c r="AE115" s="630">
        <f>+CW22</f>
        <v>0</v>
      </c>
      <c r="BL115" s="1395"/>
      <c r="BM115" s="1395"/>
      <c r="BN115" s="1395"/>
      <c r="BO115" s="1395"/>
      <c r="BP115" s="1395"/>
      <c r="BQ115" s="1395"/>
      <c r="BR115" s="1395"/>
      <c r="BS115" s="1395"/>
      <c r="BT115" s="1395"/>
      <c r="BU115" s="1395"/>
    </row>
    <row r="116" spans="12:73" ht="15" customHeight="1">
      <c r="L116" s="608"/>
      <c r="M116" s="675"/>
      <c r="N116" s="675"/>
      <c r="O116" s="675"/>
      <c r="P116" s="675"/>
      <c r="Q116" s="960"/>
      <c r="R116" s="608"/>
      <c r="BL116" s="1395"/>
      <c r="BM116" s="1395"/>
      <c r="BN116" s="1395"/>
      <c r="BO116" s="1395"/>
      <c r="BP116" s="1395"/>
      <c r="BQ116" s="1395"/>
      <c r="BR116" s="1395"/>
      <c r="BS116" s="1395"/>
      <c r="BT116" s="1395"/>
      <c r="BU116" s="1395"/>
    </row>
    <row r="117" spans="12:73" ht="15" customHeight="1">
      <c r="L117" s="608"/>
      <c r="M117" s="675"/>
      <c r="N117" s="675"/>
      <c r="O117" s="675"/>
      <c r="P117" s="675"/>
      <c r="Q117" s="960"/>
      <c r="R117" s="608"/>
      <c r="Z117" s="630"/>
      <c r="AA117" s="630" t="str">
        <f>+CQ23</f>
        <v>XXX</v>
      </c>
      <c r="AB117" s="625" t="str">
        <f>+CQ24</f>
        <v>XXX</v>
      </c>
      <c r="AC117" s="630" t="str">
        <f>+CQ25</f>
        <v>XXX</v>
      </c>
      <c r="AD117" s="621" t="str">
        <f>+CQ26</f>
        <v>XXX</v>
      </c>
      <c r="BL117" s="1395"/>
      <c r="BM117" s="1395"/>
      <c r="BN117" s="1395"/>
      <c r="BO117" s="1395"/>
      <c r="BP117" s="1395"/>
      <c r="BQ117" s="1395"/>
      <c r="BR117" s="1395"/>
      <c r="BS117" s="1395"/>
      <c r="BT117" s="1395"/>
      <c r="BU117" s="1395"/>
    </row>
    <row r="118" spans="13:73" ht="15" customHeight="1">
      <c r="M118" s="675"/>
      <c r="N118" s="675"/>
      <c r="O118" s="675"/>
      <c r="P118" s="675"/>
      <c r="Q118" s="960"/>
      <c r="Z118" s="616" t="s">
        <v>1038</v>
      </c>
      <c r="AA118" s="1498" t="str">
        <f>+AA100</f>
        <v>$/ha</v>
      </c>
      <c r="AB118" s="612" t="str">
        <f>+AB100</f>
        <v>$/ha</v>
      </c>
      <c r="AC118" s="1498" t="str">
        <f>+AC100</f>
        <v>$/ha</v>
      </c>
      <c r="AD118" s="691" t="str">
        <f>+AD100</f>
        <v>$/ha</v>
      </c>
      <c r="BL118" s="1395"/>
      <c r="BM118" s="1395"/>
      <c r="BN118" s="1395"/>
      <c r="BO118" s="1395"/>
      <c r="BP118" s="1395"/>
      <c r="BQ118" s="1395"/>
      <c r="BR118" s="1395"/>
      <c r="BS118" s="1395"/>
      <c r="BT118" s="1395"/>
      <c r="BU118" s="1395"/>
    </row>
    <row r="119" spans="13:73" ht="15" customHeight="1">
      <c r="M119" s="675"/>
      <c r="N119" s="675"/>
      <c r="O119" s="675"/>
      <c r="P119" s="675"/>
      <c r="Q119" s="960"/>
      <c r="Z119" s="619" t="s">
        <v>1039</v>
      </c>
      <c r="AA119" s="619">
        <f>+'III. Datos Agrícolas'!AE42</f>
        <v>0</v>
      </c>
      <c r="AB119" s="608">
        <f>+'III. Datos Agrícolas'!AJ42</f>
        <v>0</v>
      </c>
      <c r="AC119" s="619">
        <f>+'III. Datos Agrícolas'!AO42</f>
        <v>0</v>
      </c>
      <c r="AD119" s="613">
        <f>+'III. Datos Agrícolas'!AT42</f>
        <v>0</v>
      </c>
      <c r="BL119" s="1395"/>
      <c r="BM119" s="1395"/>
      <c r="BN119" s="1395"/>
      <c r="BO119" s="1395"/>
      <c r="BP119" s="1395"/>
      <c r="BQ119" s="1395"/>
      <c r="BR119" s="1395"/>
      <c r="BS119" s="1395"/>
      <c r="BT119" s="1395"/>
      <c r="BU119" s="1395"/>
    </row>
    <row r="120" spans="13:73" ht="15" customHeight="1">
      <c r="M120" s="675"/>
      <c r="N120" s="675"/>
      <c r="O120" s="675"/>
      <c r="P120" s="675"/>
      <c r="Q120" s="960"/>
      <c r="Z120" s="619" t="s">
        <v>1040</v>
      </c>
      <c r="AA120" s="619">
        <f>+'III. Datos Agrícolas'!AE66</f>
        <v>0</v>
      </c>
      <c r="AB120" s="608">
        <f>+'III. Datos Agrícolas'!AJ66</f>
        <v>0</v>
      </c>
      <c r="AC120" s="619">
        <f>+'III. Datos Agrícolas'!AO66</f>
        <v>0</v>
      </c>
      <c r="AD120" s="613">
        <f>+'III. Datos Agrícolas'!AT66</f>
        <v>0</v>
      </c>
      <c r="BL120" s="1395"/>
      <c r="BM120" s="1395"/>
      <c r="BN120" s="1395"/>
      <c r="BO120" s="1395"/>
      <c r="BP120" s="1395"/>
      <c r="BQ120" s="1395"/>
      <c r="BR120" s="1395"/>
      <c r="BS120" s="1395"/>
      <c r="BT120" s="1395"/>
      <c r="BU120" s="1395"/>
    </row>
    <row r="121" spans="13:73" ht="15" customHeight="1">
      <c r="M121" s="675"/>
      <c r="N121" s="675"/>
      <c r="O121" s="675"/>
      <c r="P121" s="675"/>
      <c r="Q121" s="960"/>
      <c r="Z121" s="619" t="s">
        <v>1041</v>
      </c>
      <c r="AA121" s="619">
        <f>+'III. Datos Agrícolas'!AE68</f>
        <v>0</v>
      </c>
      <c r="AB121" s="608">
        <f>+'III. Datos Agrícolas'!AJ68</f>
        <v>0</v>
      </c>
      <c r="AC121" s="619">
        <f>+'III. Datos Agrícolas'!AO68</f>
        <v>0</v>
      </c>
      <c r="AD121" s="613">
        <f>+'III. Datos Agrícolas'!AT68</f>
        <v>0</v>
      </c>
      <c r="BL121" s="1395"/>
      <c r="BM121" s="1395"/>
      <c r="BN121" s="1395"/>
      <c r="BO121" s="1395"/>
      <c r="BP121" s="1395"/>
      <c r="BQ121" s="1395"/>
      <c r="BR121" s="1395"/>
      <c r="BS121" s="1395"/>
      <c r="BT121" s="1395"/>
      <c r="BU121" s="1395"/>
    </row>
    <row r="122" spans="13:73" ht="15" customHeight="1">
      <c r="M122" s="675"/>
      <c r="N122" s="675"/>
      <c r="O122" s="675"/>
      <c r="P122" s="675"/>
      <c r="Q122" s="960"/>
      <c r="Z122" s="634" t="s">
        <v>1047</v>
      </c>
      <c r="AA122" s="619">
        <f>+'III. Datos Agrícolas'!AE70</f>
        <v>0</v>
      </c>
      <c r="AB122" s="608">
        <f>+'III. Datos Agrícolas'!AJ70</f>
        <v>0</v>
      </c>
      <c r="AC122" s="619">
        <f>+'III. Datos Agrícolas'!AO70</f>
        <v>0</v>
      </c>
      <c r="AD122" s="613">
        <f>+'III. Datos Agrícolas'!AT70</f>
        <v>0</v>
      </c>
      <c r="BL122" s="1395"/>
      <c r="BM122" s="1395"/>
      <c r="BN122" s="1395"/>
      <c r="BO122" s="1395"/>
      <c r="BP122" s="1395"/>
      <c r="BQ122" s="1395"/>
      <c r="BR122" s="1395"/>
      <c r="BS122" s="1395"/>
      <c r="BT122" s="1395"/>
      <c r="BU122" s="1395"/>
    </row>
    <row r="123" spans="13:73" ht="15" customHeight="1">
      <c r="M123" s="675"/>
      <c r="N123" s="675"/>
      <c r="O123" s="675"/>
      <c r="P123" s="675"/>
      <c r="Q123" s="960"/>
      <c r="Z123" s="636" t="s">
        <v>67</v>
      </c>
      <c r="AA123" s="630">
        <f>SUM(AA119:AA122)</f>
        <v>0</v>
      </c>
      <c r="AB123" s="625">
        <f>SUM(AB119:AB122)</f>
        <v>0</v>
      </c>
      <c r="AC123" s="630">
        <f>SUM(AC119:AC122)</f>
        <v>0</v>
      </c>
      <c r="AD123" s="621">
        <f>SUM(AD119:AD122)</f>
        <v>0</v>
      </c>
      <c r="BL123" s="1395"/>
      <c r="BM123" s="1395"/>
      <c r="BN123" s="1395"/>
      <c r="BO123" s="1395"/>
      <c r="BP123" s="1395"/>
      <c r="BQ123" s="1395"/>
      <c r="BR123" s="1395"/>
      <c r="BS123" s="1395"/>
      <c r="BT123" s="1395"/>
      <c r="BU123" s="1395"/>
    </row>
    <row r="124" spans="13:73" ht="15" customHeight="1">
      <c r="M124" s="675"/>
      <c r="N124" s="675"/>
      <c r="O124" s="675"/>
      <c r="P124" s="675"/>
      <c r="Q124" s="960"/>
      <c r="Z124" s="632" t="s">
        <v>660</v>
      </c>
      <c r="AA124" s="1498" t="str">
        <f>+AA106</f>
        <v>$/qq</v>
      </c>
      <c r="AB124" s="612" t="str">
        <f>+AB106</f>
        <v>$/qq</v>
      </c>
      <c r="AC124" s="1498" t="str">
        <f>+AC106</f>
        <v>$/qq</v>
      </c>
      <c r="AD124" s="691" t="str">
        <f>+AD106</f>
        <v>$/qq</v>
      </c>
      <c r="BL124" s="1395"/>
      <c r="BM124" s="1395"/>
      <c r="BN124" s="1395"/>
      <c r="BO124" s="1395"/>
      <c r="BP124" s="1395"/>
      <c r="BQ124" s="1395"/>
      <c r="BR124" s="1395"/>
      <c r="BS124" s="1395"/>
      <c r="BT124" s="1395"/>
      <c r="BU124" s="1395"/>
    </row>
    <row r="125" spans="13:73" ht="15" customHeight="1">
      <c r="M125" s="675"/>
      <c r="N125" s="675"/>
      <c r="O125" s="675"/>
      <c r="P125" s="675"/>
      <c r="Q125" s="960"/>
      <c r="Z125" s="619" t="s">
        <v>1043</v>
      </c>
      <c r="AA125" s="619">
        <f>+'III. Datos Agrícolas'!AD77</f>
        <v>0</v>
      </c>
      <c r="AB125" s="608">
        <f>+'III. Datos Agrícolas'!AI77</f>
        <v>0</v>
      </c>
      <c r="AC125" s="619">
        <f>+'III. Datos Agrícolas'!AN77</f>
        <v>0</v>
      </c>
      <c r="AD125" s="613">
        <f>+'III. Datos Agrícolas'!AS77</f>
        <v>0</v>
      </c>
      <c r="BL125" s="1395"/>
      <c r="BM125" s="1395"/>
      <c r="BN125" s="1395"/>
      <c r="BO125" s="1395"/>
      <c r="BP125" s="1395"/>
      <c r="BQ125" s="1395"/>
      <c r="BR125" s="1395"/>
      <c r="BS125" s="1395"/>
      <c r="BT125" s="1395"/>
      <c r="BU125" s="1395"/>
    </row>
    <row r="126" spans="13:73" ht="15" customHeight="1">
      <c r="M126" s="675"/>
      <c r="N126" s="675"/>
      <c r="O126" s="675"/>
      <c r="P126" s="675"/>
      <c r="Q126" s="960"/>
      <c r="Z126" s="619" t="s">
        <v>1044</v>
      </c>
      <c r="AA126" s="619">
        <f>SUM('III. Datos Agrícolas'!AD79:AD83)</f>
        <v>0</v>
      </c>
      <c r="AB126" s="608">
        <f>SUM('III. Datos Agrícolas'!AI79:AI83)</f>
        <v>0</v>
      </c>
      <c r="AC126" s="619">
        <f>SUM('III. Datos Agrícolas'!AN79:AN83)</f>
        <v>0</v>
      </c>
      <c r="AD126" s="613">
        <f>SUM('III. Datos Agrícolas'!AS79:AS83)</f>
        <v>0</v>
      </c>
      <c r="BL126" s="1395"/>
      <c r="BM126" s="1395"/>
      <c r="BN126" s="1395"/>
      <c r="BO126" s="1395"/>
      <c r="BP126" s="1395"/>
      <c r="BQ126" s="1395"/>
      <c r="BR126" s="1395"/>
      <c r="BS126" s="1395"/>
      <c r="BT126" s="1395"/>
      <c r="BU126" s="1395"/>
    </row>
    <row r="127" spans="13:73" ht="15" customHeight="1">
      <c r="M127" s="675"/>
      <c r="N127" s="675"/>
      <c r="O127" s="675"/>
      <c r="P127" s="675"/>
      <c r="Q127" s="960"/>
      <c r="Z127" s="634" t="s">
        <v>1045</v>
      </c>
      <c r="AA127" s="619">
        <f>+'III. Datos Agrícolas'!AD84</f>
        <v>0</v>
      </c>
      <c r="AB127" s="608">
        <f>+'III. Datos Agrícolas'!AI84</f>
        <v>0</v>
      </c>
      <c r="AC127" s="619">
        <f>+'III. Datos Agrícolas'!AN84</f>
        <v>0</v>
      </c>
      <c r="AD127" s="613">
        <f>+'III. Datos Agrícolas'!AS84</f>
        <v>0</v>
      </c>
      <c r="BL127" s="1395"/>
      <c r="BM127" s="1395"/>
      <c r="BN127" s="1395"/>
      <c r="BO127" s="1395"/>
      <c r="BP127" s="1395"/>
      <c r="BQ127" s="1395"/>
      <c r="BR127" s="1395"/>
      <c r="BS127" s="1395"/>
      <c r="BT127" s="1395"/>
      <c r="BU127" s="1395"/>
    </row>
    <row r="128" spans="13:73" ht="15" customHeight="1">
      <c r="M128" s="675"/>
      <c r="N128" s="675"/>
      <c r="O128" s="675"/>
      <c r="P128" s="675"/>
      <c r="Q128" s="960"/>
      <c r="Z128" s="636" t="s">
        <v>67</v>
      </c>
      <c r="AA128" s="630">
        <f>SUM(AA125:AA127)</f>
        <v>0</v>
      </c>
      <c r="AB128" s="625">
        <f>SUM(AB125:AB127)</f>
        <v>0</v>
      </c>
      <c r="AC128" s="630">
        <f>SUM(AC125:AC127)</f>
        <v>0</v>
      </c>
      <c r="AD128" s="621">
        <f>SUM(AD125:AD127)</f>
        <v>0</v>
      </c>
      <c r="BL128" s="1395"/>
      <c r="BM128" s="1395"/>
      <c r="BN128" s="1395"/>
      <c r="BO128" s="1395"/>
      <c r="BP128" s="1395"/>
      <c r="BQ128" s="1395"/>
      <c r="BR128" s="1395"/>
      <c r="BS128" s="1395"/>
      <c r="BT128" s="1395"/>
      <c r="BU128" s="1395"/>
    </row>
    <row r="129" spans="13:73" ht="15" customHeight="1">
      <c r="M129" s="675"/>
      <c r="N129" s="675"/>
      <c r="O129" s="675"/>
      <c r="P129" s="675"/>
      <c r="Q129" s="960"/>
      <c r="Z129" s="640"/>
      <c r="AA129" s="1498" t="str">
        <f>+AA111</f>
        <v>$/ha</v>
      </c>
      <c r="AB129" s="612" t="str">
        <f>+AB111</f>
        <v>$/ha</v>
      </c>
      <c r="AC129" s="1498" t="str">
        <f>+AC111</f>
        <v>$/ha</v>
      </c>
      <c r="AD129" s="691" t="str">
        <f>+AD111</f>
        <v>$/ha</v>
      </c>
      <c r="BL129" s="1395"/>
      <c r="BM129" s="1395"/>
      <c r="BN129" s="1395"/>
      <c r="BO129" s="1395"/>
      <c r="BP129" s="1395"/>
      <c r="BQ129" s="1395"/>
      <c r="BR129" s="1395"/>
      <c r="BS129" s="1395"/>
      <c r="BT129" s="1395"/>
      <c r="BU129" s="1395"/>
    </row>
    <row r="130" spans="13:73" ht="15" customHeight="1">
      <c r="M130" s="675"/>
      <c r="N130" s="675"/>
      <c r="O130" s="675"/>
      <c r="P130" s="675"/>
      <c r="Q130" s="960"/>
      <c r="Z130" s="634" t="s">
        <v>1046</v>
      </c>
      <c r="AA130" s="634">
        <f>+CX23</f>
        <v>0</v>
      </c>
      <c r="AB130" s="614">
        <f>+CX24</f>
        <v>0</v>
      </c>
      <c r="AC130" s="634">
        <f>+CX25</f>
        <v>0</v>
      </c>
      <c r="AD130" s="615">
        <f>+CX26</f>
        <v>0</v>
      </c>
      <c r="BL130" s="1395"/>
      <c r="BM130" s="1395"/>
      <c r="BN130" s="1395"/>
      <c r="BO130" s="1395"/>
      <c r="BP130" s="1395"/>
      <c r="BQ130" s="1395"/>
      <c r="BR130" s="1395"/>
      <c r="BS130" s="1395"/>
      <c r="BT130" s="1395"/>
      <c r="BU130" s="1395"/>
    </row>
    <row r="131" spans="13:73" ht="15" customHeight="1">
      <c r="M131" s="675"/>
      <c r="N131" s="675"/>
      <c r="O131" s="675"/>
      <c r="P131" s="675"/>
      <c r="Q131" s="960"/>
      <c r="Z131" s="630" t="s">
        <v>1214</v>
      </c>
      <c r="AA131" s="630">
        <f>+CR23</f>
        <v>0</v>
      </c>
      <c r="AB131" s="625">
        <f>+CR24</f>
        <v>0</v>
      </c>
      <c r="AC131" s="630">
        <f>+CR25</f>
        <v>0</v>
      </c>
      <c r="AD131" s="621">
        <f>+CR26</f>
        <v>0</v>
      </c>
      <c r="BL131" s="1395"/>
      <c r="BM131" s="1395"/>
      <c r="BN131" s="1395"/>
      <c r="BO131" s="1395"/>
      <c r="BP131" s="1395"/>
      <c r="BQ131" s="1395"/>
      <c r="BR131" s="1395"/>
      <c r="BS131" s="1395"/>
      <c r="BT131" s="1395"/>
      <c r="BU131" s="1395"/>
    </row>
    <row r="132" spans="13:73" ht="15" customHeight="1">
      <c r="M132" s="675"/>
      <c r="N132" s="675"/>
      <c r="O132" s="675"/>
      <c r="P132" s="675"/>
      <c r="Q132" s="960"/>
      <c r="Z132" s="630" t="s">
        <v>1215</v>
      </c>
      <c r="AA132" s="630">
        <f>+CV23</f>
        <v>0</v>
      </c>
      <c r="AB132" s="630">
        <f>+CV24</f>
        <v>0</v>
      </c>
      <c r="AC132" s="630">
        <f>+CV25</f>
        <v>0</v>
      </c>
      <c r="AD132" s="630">
        <f>+CV26</f>
        <v>0</v>
      </c>
      <c r="BL132" s="1395"/>
      <c r="BM132" s="1395"/>
      <c r="BN132" s="1395"/>
      <c r="BO132" s="1395"/>
      <c r="BP132" s="1395"/>
      <c r="BQ132" s="1395"/>
      <c r="BR132" s="1395"/>
      <c r="BS132" s="1395"/>
      <c r="BT132" s="1395"/>
      <c r="BU132" s="1395"/>
    </row>
    <row r="133" spans="13:73" ht="15" customHeight="1">
      <c r="M133" s="675"/>
      <c r="N133" s="675"/>
      <c r="O133" s="675"/>
      <c r="P133" s="675"/>
      <c r="Q133" s="960"/>
      <c r="Z133" s="630" t="s">
        <v>993</v>
      </c>
      <c r="AA133" s="630">
        <f>+CW23</f>
        <v>0</v>
      </c>
      <c r="AB133" s="630">
        <f>+CW24</f>
        <v>0</v>
      </c>
      <c r="AC133" s="630">
        <f>+CW25</f>
        <v>0</v>
      </c>
      <c r="AD133" s="630">
        <f>+CW26</f>
        <v>0</v>
      </c>
      <c r="BL133" s="1395"/>
      <c r="BM133" s="1395"/>
      <c r="BN133" s="1395"/>
      <c r="BO133" s="1395"/>
      <c r="BP133" s="1395"/>
      <c r="BQ133" s="1395"/>
      <c r="BR133" s="1395"/>
      <c r="BS133" s="1395"/>
      <c r="BT133" s="1395"/>
      <c r="BU133" s="1395"/>
    </row>
    <row r="134" spans="13:73" ht="15" customHeight="1">
      <c r="M134" s="675"/>
      <c r="N134" s="675"/>
      <c r="O134" s="675"/>
      <c r="P134" s="675"/>
      <c r="Q134" s="960"/>
      <c r="BL134" s="1395"/>
      <c r="BM134" s="1395"/>
      <c r="BN134" s="1395"/>
      <c r="BO134" s="1395"/>
      <c r="BP134" s="1395"/>
      <c r="BQ134" s="1395"/>
      <c r="BR134" s="1395"/>
      <c r="BS134" s="1395"/>
      <c r="BT134" s="1395"/>
      <c r="BU134" s="1395"/>
    </row>
    <row r="135" spans="64:73" ht="15" customHeight="1">
      <c r="BL135" s="1395"/>
      <c r="BM135" s="1395"/>
      <c r="BN135" s="1395"/>
      <c r="BO135" s="1395"/>
      <c r="BP135" s="1395"/>
      <c r="BQ135" s="1395"/>
      <c r="BR135" s="1395"/>
      <c r="BS135" s="1395"/>
      <c r="BT135" s="1395"/>
      <c r="BU135" s="1395"/>
    </row>
    <row r="136" spans="64:73" ht="15" customHeight="1">
      <c r="BL136" s="1395"/>
      <c r="BM136" s="1395"/>
      <c r="BN136" s="1395"/>
      <c r="BO136" s="1395"/>
      <c r="BP136" s="1395"/>
      <c r="BQ136" s="1395"/>
      <c r="BR136" s="1395"/>
      <c r="BS136" s="1395"/>
      <c r="BT136" s="1395"/>
      <c r="BU136" s="1395"/>
    </row>
    <row r="137" spans="64:73" ht="15" customHeight="1">
      <c r="BL137" s="1395"/>
      <c r="BM137" s="1395"/>
      <c r="BN137" s="1395"/>
      <c r="BO137" s="1395"/>
      <c r="BP137" s="1395"/>
      <c r="BQ137" s="1395"/>
      <c r="BR137" s="1395"/>
      <c r="BS137" s="1395"/>
      <c r="BT137" s="1395"/>
      <c r="BU137" s="1395"/>
    </row>
    <row r="138" spans="64:73" ht="15" customHeight="1">
      <c r="BL138" s="1395"/>
      <c r="BM138" s="1395"/>
      <c r="BN138" s="1395"/>
      <c r="BO138" s="1395"/>
      <c r="BP138" s="1395"/>
      <c r="BQ138" s="1395"/>
      <c r="BR138" s="1395"/>
      <c r="BS138" s="1395"/>
      <c r="BT138" s="1395"/>
      <c r="BU138" s="1395"/>
    </row>
    <row r="139" spans="64:73" ht="15" customHeight="1">
      <c r="BL139" s="1395"/>
      <c r="BM139" s="1395"/>
      <c r="BN139" s="1395"/>
      <c r="BO139" s="1395"/>
      <c r="BP139" s="1395"/>
      <c r="BQ139" s="1395"/>
      <c r="BR139" s="1395"/>
      <c r="BS139" s="1395"/>
      <c r="BT139" s="1395"/>
      <c r="BU139" s="1395"/>
    </row>
    <row r="140" spans="64:73" ht="15" customHeight="1">
      <c r="BL140" s="1395"/>
      <c r="BM140" s="1395"/>
      <c r="BN140" s="1395"/>
      <c r="BO140" s="1395"/>
      <c r="BP140" s="1395"/>
      <c r="BQ140" s="1395"/>
      <c r="BR140" s="1395"/>
      <c r="BS140" s="1395"/>
      <c r="BT140" s="1395"/>
      <c r="BU140" s="1395"/>
    </row>
    <row r="141" spans="64:73" ht="15" customHeight="1">
      <c r="BL141" s="1395"/>
      <c r="BM141" s="1395"/>
      <c r="BN141" s="1395"/>
      <c r="BO141" s="1395"/>
      <c r="BP141" s="1395"/>
      <c r="BQ141" s="1395"/>
      <c r="BR141" s="1395"/>
      <c r="BS141" s="1395"/>
      <c r="BT141" s="1395"/>
      <c r="BU141" s="1395"/>
    </row>
    <row r="142" spans="64:73" ht="15" customHeight="1">
      <c r="BL142" s="1395"/>
      <c r="BM142" s="1395"/>
      <c r="BN142" s="1395"/>
      <c r="BO142" s="1395"/>
      <c r="BP142" s="1395"/>
      <c r="BQ142" s="1395"/>
      <c r="BR142" s="1395"/>
      <c r="BS142" s="1395"/>
      <c r="BT142" s="1395"/>
      <c r="BU142" s="1395"/>
    </row>
    <row r="143" spans="64:73" ht="15" customHeight="1">
      <c r="BL143" s="1395"/>
      <c r="BM143" s="1395"/>
      <c r="BN143" s="1395"/>
      <c r="BO143" s="1395"/>
      <c r="BP143" s="1395"/>
      <c r="BQ143" s="1395"/>
      <c r="BR143" s="1395"/>
      <c r="BS143" s="1395"/>
      <c r="BT143" s="1395"/>
      <c r="BU143" s="1395"/>
    </row>
    <row r="144" spans="64:73" ht="15" customHeight="1">
      <c r="BL144" s="1395"/>
      <c r="BM144" s="1395"/>
      <c r="BN144" s="1395"/>
      <c r="BO144" s="1395"/>
      <c r="BP144" s="1395"/>
      <c r="BQ144" s="1395"/>
      <c r="BR144" s="1395"/>
      <c r="BS144" s="1395"/>
      <c r="BT144" s="1395"/>
      <c r="BU144" s="1395"/>
    </row>
    <row r="145" spans="64:73" ht="15" customHeight="1">
      <c r="BL145" s="1395"/>
      <c r="BM145" s="1395"/>
      <c r="BN145" s="1395"/>
      <c r="BO145" s="1395"/>
      <c r="BP145" s="1395"/>
      <c r="BQ145" s="1395"/>
      <c r="BR145" s="1395"/>
      <c r="BS145" s="1395"/>
      <c r="BT145" s="1395"/>
      <c r="BU145" s="1395"/>
    </row>
    <row r="146" spans="64:73" ht="15" customHeight="1">
      <c r="BL146" s="1395"/>
      <c r="BM146" s="1395"/>
      <c r="BN146" s="1395"/>
      <c r="BO146" s="1395"/>
      <c r="BP146" s="1395"/>
      <c r="BQ146" s="1395"/>
      <c r="BR146" s="1395"/>
      <c r="BS146" s="1395"/>
      <c r="BT146" s="1395"/>
      <c r="BU146" s="1395"/>
    </row>
    <row r="147" spans="64:73" ht="15" customHeight="1">
      <c r="BL147" s="1395"/>
      <c r="BM147" s="1395"/>
      <c r="BN147" s="1395"/>
      <c r="BO147" s="1395"/>
      <c r="BP147" s="1395"/>
      <c r="BQ147" s="1395"/>
      <c r="BR147" s="1395"/>
      <c r="BS147" s="1395"/>
      <c r="BT147" s="1395"/>
      <c r="BU147" s="1395"/>
    </row>
    <row r="148" spans="64:73" ht="15" customHeight="1">
      <c r="BL148" s="1395"/>
      <c r="BM148" s="1395"/>
      <c r="BN148" s="1395"/>
      <c r="BO148" s="1395"/>
      <c r="BP148" s="1395"/>
      <c r="BQ148" s="1395"/>
      <c r="BR148" s="1395"/>
      <c r="BS148" s="1395"/>
      <c r="BT148" s="1395"/>
      <c r="BU148" s="1395"/>
    </row>
    <row r="149" spans="64:73" ht="15" customHeight="1">
      <c r="BL149" s="1395"/>
      <c r="BM149" s="1395"/>
      <c r="BN149" s="1395"/>
      <c r="BO149" s="1395"/>
      <c r="BP149" s="1395"/>
      <c r="BQ149" s="1395"/>
      <c r="BR149" s="1395"/>
      <c r="BS149" s="1395"/>
      <c r="BT149" s="1395"/>
      <c r="BU149" s="1395"/>
    </row>
    <row r="150" spans="64:73" ht="15" customHeight="1">
      <c r="BL150" s="1395"/>
      <c r="BM150" s="1395"/>
      <c r="BN150" s="1395"/>
      <c r="BO150" s="1395"/>
      <c r="BP150" s="1395"/>
      <c r="BQ150" s="1395"/>
      <c r="BR150" s="1395"/>
      <c r="BS150" s="1395"/>
      <c r="BT150" s="1395"/>
      <c r="BU150" s="1395"/>
    </row>
    <row r="151" spans="64:73" ht="15" customHeight="1">
      <c r="BL151" s="1395"/>
      <c r="BM151" s="1395"/>
      <c r="BN151" s="1395"/>
      <c r="BO151" s="1395"/>
      <c r="BP151" s="1395"/>
      <c r="BQ151" s="1395"/>
      <c r="BR151" s="1395"/>
      <c r="BS151" s="1395"/>
      <c r="BT151" s="1395"/>
      <c r="BU151" s="1395"/>
    </row>
    <row r="152" spans="64:73" ht="15" customHeight="1">
      <c r="BL152" s="1395"/>
      <c r="BM152" s="1395"/>
      <c r="BN152" s="1395"/>
      <c r="BO152" s="1395"/>
      <c r="BP152" s="1395"/>
      <c r="BQ152" s="1395"/>
      <c r="BR152" s="1395"/>
      <c r="BS152" s="1395"/>
      <c r="BT152" s="1395"/>
      <c r="BU152" s="1395"/>
    </row>
    <row r="153" spans="64:73" ht="15" customHeight="1">
      <c r="BL153" s="1395"/>
      <c r="BM153" s="1395"/>
      <c r="BN153" s="1395"/>
      <c r="BO153" s="1395"/>
      <c r="BP153" s="1395"/>
      <c r="BQ153" s="1395"/>
      <c r="BR153" s="1395"/>
      <c r="BS153" s="1395"/>
      <c r="BT153" s="1395"/>
      <c r="BU153" s="1395"/>
    </row>
    <row r="154" spans="64:73" ht="15" customHeight="1">
      <c r="BL154" s="1395"/>
      <c r="BM154" s="1395"/>
      <c r="BN154" s="1395"/>
      <c r="BO154" s="1395"/>
      <c r="BP154" s="1395"/>
      <c r="BQ154" s="1395"/>
      <c r="BR154" s="1395"/>
      <c r="BS154" s="1395"/>
      <c r="BT154" s="1395"/>
      <c r="BU154" s="1395"/>
    </row>
    <row r="155" spans="64:73" ht="15" customHeight="1">
      <c r="BL155" s="1395"/>
      <c r="BM155" s="1395"/>
      <c r="BN155" s="1395"/>
      <c r="BO155" s="1395"/>
      <c r="BP155" s="1395"/>
      <c r="BQ155" s="1395"/>
      <c r="BR155" s="1395"/>
      <c r="BS155" s="1395"/>
      <c r="BT155" s="1395"/>
      <c r="BU155" s="1395"/>
    </row>
    <row r="156" spans="64:73" ht="15" customHeight="1">
      <c r="BL156" s="1395"/>
      <c r="BM156" s="1395"/>
      <c r="BN156" s="1395"/>
      <c r="BO156" s="1395"/>
      <c r="BP156" s="1395"/>
      <c r="BQ156" s="1395"/>
      <c r="BR156" s="1395"/>
      <c r="BS156" s="1395"/>
      <c r="BT156" s="1395"/>
      <c r="BU156" s="1395"/>
    </row>
    <row r="157" spans="64:73" ht="15" customHeight="1">
      <c r="BL157" s="1395"/>
      <c r="BM157" s="1395"/>
      <c r="BN157" s="1395"/>
      <c r="BO157" s="1395"/>
      <c r="BP157" s="1395"/>
      <c r="BQ157" s="1395"/>
      <c r="BR157" s="1395"/>
      <c r="BS157" s="1395"/>
      <c r="BT157" s="1395"/>
      <c r="BU157" s="1395"/>
    </row>
  </sheetData>
  <sheetProtection password="CF3C" sheet="1" objects="1" scenarios="1"/>
  <mergeCells count="1">
    <mergeCell ref="Z83:AH83"/>
  </mergeCells>
  <printOptions horizontalCentered="1"/>
  <pageMargins left="0.14" right="0.24" top="0.5511811023622047" bottom="0.5118110236220472" header="0.3937007874015748" footer="0.5118110236220472"/>
  <pageSetup horizontalDpi="300" verticalDpi="300" orientation="landscape" paperSize="9" scale="70" r:id="rId2"/>
  <headerFooter alignWithMargins="0">
    <oddHeader>&amp;C&amp;"Arial,Normal"TAMBO 2006 - Modelo de Análisis: Tambo, Invernada y Agricultura</oddHeader>
    <oddFooter>&amp;C&amp;"Arial,Cursiva"&amp;10Administración  de Organizaciones - Facultad de Ciencias Agrarias - UNL&amp;R&amp;"Verdana,Normal"&amp;8
</oddFooter>
  </headerFooter>
  <drawing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DK219"/>
  <sheetViews>
    <sheetView showGridLines="0" zoomScale="75" zoomScaleNormal="75" workbookViewId="0" topLeftCell="A1">
      <selection activeCell="F52" sqref="F52"/>
    </sheetView>
  </sheetViews>
  <sheetFormatPr defaultColWidth="11.19921875" defaultRowHeight="15"/>
  <cols>
    <col min="1" max="1" width="36.296875" style="21" customWidth="1"/>
    <col min="2" max="3" width="11.59765625" style="21" customWidth="1"/>
    <col min="4" max="4" width="16" style="21" customWidth="1"/>
    <col min="5" max="5" width="24.09765625" style="21" customWidth="1"/>
    <col min="6" max="6" width="26.8984375" style="21" customWidth="1"/>
    <col min="7" max="7" width="11.3984375" style="21" customWidth="1"/>
    <col min="8" max="9" width="16.69921875" style="21" customWidth="1"/>
    <col min="10" max="10" width="23.296875" style="21" customWidth="1"/>
    <col min="11" max="11" width="22.3984375" style="21" customWidth="1"/>
    <col min="12" max="12" width="19.19921875" style="21" bestFit="1" customWidth="1"/>
    <col min="13" max="13" width="13.69921875" style="21" customWidth="1"/>
    <col min="14" max="14" width="12.8984375" style="21" bestFit="1" customWidth="1"/>
    <col min="15" max="15" width="12.8984375" style="21" customWidth="1"/>
    <col min="16" max="16" width="16.59765625" style="21" bestFit="1" customWidth="1"/>
    <col min="17" max="17" width="8.796875" style="21" customWidth="1"/>
    <col min="18" max="18" width="31.19921875" style="21" customWidth="1"/>
    <col min="19" max="19" width="12.69921875" style="21" customWidth="1"/>
    <col min="20" max="21" width="13.09765625" style="21" customWidth="1"/>
    <col min="22" max="22" width="25.59765625" style="21" customWidth="1"/>
    <col min="23" max="23" width="18.19921875" style="21" customWidth="1"/>
    <col min="24" max="24" width="12.296875" style="21" customWidth="1"/>
    <col min="25" max="25" width="11.3984375" style="21" customWidth="1"/>
    <col min="26" max="26" width="20.59765625" style="21" bestFit="1" customWidth="1"/>
    <col min="27" max="27" width="15.69921875" style="21" customWidth="1"/>
    <col min="28" max="28" width="7.69921875" style="21" customWidth="1"/>
    <col min="29" max="29" width="8.59765625" style="21" customWidth="1"/>
    <col min="30" max="30" width="20.296875" style="21" customWidth="1"/>
    <col min="31" max="31" width="10.8984375" style="21" customWidth="1"/>
    <col min="32" max="32" width="15.796875" style="21" bestFit="1" customWidth="1"/>
    <col min="33" max="33" width="19.59765625" style="21" bestFit="1" customWidth="1"/>
    <col min="34" max="34" width="20" style="21" bestFit="1" customWidth="1"/>
    <col min="35" max="35" width="8.796875" style="21" customWidth="1"/>
    <col min="36" max="36" width="10.09765625" style="21" customWidth="1"/>
    <col min="37" max="37" width="23.59765625" style="21" customWidth="1"/>
    <col min="38" max="38" width="14.09765625" style="21" customWidth="1"/>
    <col min="39" max="39" width="12.09765625" style="21" customWidth="1"/>
    <col min="40" max="41" width="11.59765625" style="21" customWidth="1"/>
    <col min="42" max="42" width="13.3984375" style="21" customWidth="1"/>
    <col min="43" max="43" width="10.796875" style="21" customWidth="1"/>
    <col min="44" max="44" width="19.19921875" style="21" customWidth="1"/>
    <col min="45" max="47" width="8.796875" style="21" customWidth="1"/>
    <col min="48" max="48" width="20.59765625" style="21" customWidth="1"/>
    <col min="49" max="51" width="8.796875" style="21" customWidth="1"/>
    <col min="52" max="52" width="9.69921875" style="21" customWidth="1"/>
    <col min="53" max="53" width="2.09765625" style="21" customWidth="1"/>
    <col min="54" max="54" width="20.8984375" style="21" customWidth="1"/>
    <col min="55" max="56" width="11.59765625" style="21" customWidth="1"/>
    <col min="57" max="57" width="3.296875" style="21" customWidth="1"/>
    <col min="58" max="58" width="20.296875" style="21" customWidth="1"/>
    <col min="59" max="60" width="11.59765625" style="21" customWidth="1"/>
    <col min="61" max="61" width="14.69921875" style="21" customWidth="1"/>
    <col min="62" max="64" width="11.59765625" style="21" customWidth="1"/>
    <col min="65" max="65" width="10.796875" style="21" customWidth="1"/>
    <col min="66" max="66" width="11.59765625" style="21" customWidth="1"/>
    <col min="67" max="67" width="22.19921875" style="21" customWidth="1"/>
    <col min="68" max="70" width="11.59765625" style="21" customWidth="1"/>
    <col min="71" max="71" width="8.59765625" style="21" customWidth="1"/>
    <col min="72" max="72" width="11.59765625" style="21" customWidth="1"/>
    <col min="73" max="73" width="10.09765625" style="21" customWidth="1"/>
    <col min="74" max="16384" width="11.59765625" style="21" customWidth="1"/>
  </cols>
  <sheetData>
    <row r="1" spans="1:115" ht="15" customHeight="1" thickBot="1">
      <c r="A1" s="245" t="s">
        <v>1222</v>
      </c>
      <c r="B1" s="46"/>
      <c r="C1" s="117"/>
      <c r="D1" s="29"/>
      <c r="F1" s="734" t="s">
        <v>1221</v>
      </c>
      <c r="K1" s="734" t="s">
        <v>1220</v>
      </c>
      <c r="L1" s="81"/>
      <c r="M1" s="81"/>
      <c r="R1" s="246" t="s">
        <v>1223</v>
      </c>
      <c r="V1" s="245" t="s">
        <v>1245</v>
      </c>
      <c r="W1" s="29"/>
      <c r="X1" s="117"/>
      <c r="Y1" s="117"/>
      <c r="Z1" s="29"/>
      <c r="AD1" s="1589" t="s">
        <v>1254</v>
      </c>
      <c r="AK1" s="735" t="s">
        <v>1256</v>
      </c>
      <c r="AR1" s="246" t="s">
        <v>1258</v>
      </c>
      <c r="AS1" s="20"/>
      <c r="AT1" s="20"/>
      <c r="AU1" s="20"/>
      <c r="AV1" s="20"/>
      <c r="AW1" s="20"/>
      <c r="AX1" s="20"/>
      <c r="AY1" s="20"/>
      <c r="BF1" s="247"/>
      <c r="BG1" s="29"/>
      <c r="BH1" s="29"/>
      <c r="BI1" s="117"/>
      <c r="BJ1" s="117"/>
      <c r="BO1" s="734" t="s">
        <v>1261</v>
      </c>
      <c r="BW1" s="734" t="s">
        <v>1262</v>
      </c>
      <c r="DG1" s="1029"/>
      <c r="DH1" s="1029"/>
      <c r="DI1" s="1029"/>
      <c r="DJ1" s="1029"/>
      <c r="DK1" s="1029"/>
    </row>
    <row r="2" spans="1:115" ht="15" customHeight="1" thickBot="1">
      <c r="A2" s="891" t="s">
        <v>1048</v>
      </c>
      <c r="B2" s="892"/>
      <c r="C2" s="893"/>
      <c r="D2" s="894"/>
      <c r="F2" s="900"/>
      <c r="G2" s="829" t="s">
        <v>1049</v>
      </c>
      <c r="H2" s="901" t="s">
        <v>1050</v>
      </c>
      <c r="I2" s="830" t="str">
        <f>+N2</f>
        <v>Tamaño/capacidad</v>
      </c>
      <c r="K2" s="900"/>
      <c r="L2" s="829" t="s">
        <v>1049</v>
      </c>
      <c r="M2" s="901" t="s">
        <v>1050</v>
      </c>
      <c r="N2" s="830" t="s">
        <v>1051</v>
      </c>
      <c r="O2" s="851"/>
      <c r="P2" s="851"/>
      <c r="R2" s="904"/>
      <c r="S2" s="901" t="s">
        <v>1031</v>
      </c>
      <c r="T2" s="905" t="s">
        <v>7</v>
      </c>
      <c r="V2" s="812" t="s">
        <v>329</v>
      </c>
      <c r="W2" s="813"/>
      <c r="X2" s="814"/>
      <c r="AD2" s="1592" t="s">
        <v>329</v>
      </c>
      <c r="AE2" s="1593"/>
      <c r="AF2" s="1593"/>
      <c r="AG2" s="1594"/>
      <c r="AI2" s="749"/>
      <c r="AK2" s="845" t="s">
        <v>1053</v>
      </c>
      <c r="AL2" s="846" t="s">
        <v>1054</v>
      </c>
      <c r="AM2" s="846" t="s">
        <v>1055</v>
      </c>
      <c r="AN2" s="846" t="s">
        <v>1056</v>
      </c>
      <c r="AO2" s="846" t="s">
        <v>1057</v>
      </c>
      <c r="AP2" s="847" t="s">
        <v>1058</v>
      </c>
      <c r="AR2" s="861" t="s">
        <v>329</v>
      </c>
      <c r="AS2" s="862"/>
      <c r="AT2" s="862"/>
      <c r="AU2" s="863"/>
      <c r="AV2" s="864" t="s">
        <v>330</v>
      </c>
      <c r="AW2" s="865"/>
      <c r="AX2" s="865"/>
      <c r="AY2" s="866"/>
      <c r="BB2" s="735" t="s">
        <v>1259</v>
      </c>
      <c r="BI2" s="734"/>
      <c r="BJ2" s="29"/>
      <c r="BO2" s="837"/>
      <c r="BP2" s="840" t="s">
        <v>1086</v>
      </c>
      <c r="BQ2" s="835" t="s">
        <v>1087</v>
      </c>
      <c r="BR2" s="840" t="s">
        <v>1086</v>
      </c>
      <c r="BS2" s="835" t="s">
        <v>1087</v>
      </c>
      <c r="BT2" s="839" t="s">
        <v>1086</v>
      </c>
      <c r="BU2" s="835" t="s">
        <v>1087</v>
      </c>
      <c r="BW2" s="837"/>
      <c r="BX2" s="840" t="s">
        <v>1086</v>
      </c>
      <c r="BY2" s="835" t="s">
        <v>1087</v>
      </c>
      <c r="BZ2" s="840" t="s">
        <v>1086</v>
      </c>
      <c r="CA2" s="835" t="s">
        <v>1087</v>
      </c>
      <c r="CB2" s="839" t="s">
        <v>1086</v>
      </c>
      <c r="CC2" s="835" t="s">
        <v>1087</v>
      </c>
      <c r="DG2" s="1029"/>
      <c r="DH2" s="1029"/>
      <c r="DI2" s="1029"/>
      <c r="DJ2" s="1029"/>
      <c r="DK2" s="1029"/>
    </row>
    <row r="3" spans="1:115" ht="15" customHeight="1">
      <c r="A3" s="789" t="s">
        <v>4</v>
      </c>
      <c r="B3" s="1537"/>
      <c r="C3" s="1538"/>
      <c r="D3" s="773"/>
      <c r="F3" s="854" t="s">
        <v>51</v>
      </c>
      <c r="G3" s="255"/>
      <c r="H3" s="255"/>
      <c r="I3" s="792"/>
      <c r="K3" s="854" t="str">
        <f>+'Información General'!W51</f>
        <v>ORDEÑO</v>
      </c>
      <c r="L3" s="208"/>
      <c r="M3" s="208"/>
      <c r="N3" s="792"/>
      <c r="O3" s="29"/>
      <c r="P3" s="29"/>
      <c r="R3" s="873"/>
      <c r="S3" s="79"/>
      <c r="T3" s="792"/>
      <c r="V3" s="805" t="s">
        <v>316</v>
      </c>
      <c r="W3" s="806" t="s">
        <v>317</v>
      </c>
      <c r="X3" s="753"/>
      <c r="Y3" s="43"/>
      <c r="Z3" s="29"/>
      <c r="AD3" s="852" t="s">
        <v>300</v>
      </c>
      <c r="AE3" s="374" t="s">
        <v>725</v>
      </c>
      <c r="AF3" s="374" t="s">
        <v>1246</v>
      </c>
      <c r="AG3" s="1591" t="s">
        <v>1247</v>
      </c>
      <c r="AI3" s="749"/>
      <c r="AK3" s="1618" t="s">
        <v>98</v>
      </c>
      <c r="AL3" s="1553"/>
      <c r="AM3" s="1619"/>
      <c r="AN3" s="1619"/>
      <c r="AO3" s="1553"/>
      <c r="AP3" s="1620"/>
      <c r="AR3" s="867" t="s">
        <v>937</v>
      </c>
      <c r="AS3" s="320"/>
      <c r="AT3" s="355" t="s">
        <v>6</v>
      </c>
      <c r="AU3" s="356"/>
      <c r="AV3" s="375" t="str">
        <f>+AR3</f>
        <v>VENTAS ANUALES</v>
      </c>
      <c r="AW3" s="320"/>
      <c r="AX3" s="355" t="s">
        <v>6</v>
      </c>
      <c r="AY3" s="868"/>
      <c r="BB3" s="877" t="s">
        <v>684</v>
      </c>
      <c r="BC3" s="791"/>
      <c r="BD3" s="878"/>
      <c r="BE3" s="878"/>
      <c r="BF3" s="791" t="s">
        <v>684</v>
      </c>
      <c r="BG3" s="791"/>
      <c r="BH3" s="879"/>
      <c r="BI3" s="29"/>
      <c r="BJ3" s="29"/>
      <c r="BO3" s="768" t="s">
        <v>1092</v>
      </c>
      <c r="BP3" s="1341"/>
      <c r="BQ3" s="1342"/>
      <c r="BR3" s="1343"/>
      <c r="BS3" s="1344"/>
      <c r="BT3" s="1345"/>
      <c r="BU3" s="1344"/>
      <c r="BW3" s="768" t="s">
        <v>1092</v>
      </c>
      <c r="BX3" s="1341"/>
      <c r="BY3" s="1342"/>
      <c r="BZ3" s="1343"/>
      <c r="CA3" s="1344"/>
      <c r="CB3" s="1345"/>
      <c r="CC3" s="1344"/>
      <c r="DG3" s="1029"/>
      <c r="DH3" s="1029"/>
      <c r="DI3" s="1029"/>
      <c r="DJ3" s="1029"/>
      <c r="DK3" s="1029"/>
    </row>
    <row r="4" spans="1:115" ht="15" customHeight="1" thickBot="1">
      <c r="A4" s="789" t="s">
        <v>8</v>
      </c>
      <c r="B4" s="1539"/>
      <c r="C4" s="1540"/>
      <c r="D4" s="1541"/>
      <c r="F4" s="854" t="s">
        <v>51</v>
      </c>
      <c r="G4" s="255"/>
      <c r="H4" s="255"/>
      <c r="I4" s="792"/>
      <c r="K4" s="854" t="str">
        <f>+'Información General'!W52</f>
        <v>Ordeñadora  de 8 bajadas</v>
      </c>
      <c r="L4" s="208"/>
      <c r="M4" s="208"/>
      <c r="N4" s="792"/>
      <c r="O4" s="29"/>
      <c r="P4" s="29"/>
      <c r="R4" s="854" t="s">
        <v>1224</v>
      </c>
      <c r="S4" s="80"/>
      <c r="T4" s="856"/>
      <c r="V4" s="807" t="s">
        <v>326</v>
      </c>
      <c r="W4" s="258" t="s">
        <v>308</v>
      </c>
      <c r="X4" s="808"/>
      <c r="Y4" s="43"/>
      <c r="Z4" s="29"/>
      <c r="AD4" s="799"/>
      <c r="AE4" s="255"/>
      <c r="AF4" s="208" t="s">
        <v>511</v>
      </c>
      <c r="AG4" s="883" t="s">
        <v>7</v>
      </c>
      <c r="AI4" s="1577"/>
      <c r="AK4" s="848" t="str">
        <f>+'II. Datos  Ganaderos'!Q29</f>
        <v>     Vaca ordeño</v>
      </c>
      <c r="AL4" s="255"/>
      <c r="AM4" s="738"/>
      <c r="AN4" s="738"/>
      <c r="AO4" s="255"/>
      <c r="AP4" s="849"/>
      <c r="AR4" s="869"/>
      <c r="AS4" s="303" t="s">
        <v>18</v>
      </c>
      <c r="AT4" s="305" t="s">
        <v>343</v>
      </c>
      <c r="AU4" s="305" t="s">
        <v>344</v>
      </c>
      <c r="AV4" s="339"/>
      <c r="AW4" s="321" t="s">
        <v>18</v>
      </c>
      <c r="AX4" s="321" t="s">
        <v>343</v>
      </c>
      <c r="AY4" s="870" t="s">
        <v>344</v>
      </c>
      <c r="BB4" s="799" t="s">
        <v>301</v>
      </c>
      <c r="BC4" s="255"/>
      <c r="BD4" s="29"/>
      <c r="BE4" s="29"/>
      <c r="BF4" s="255" t="s">
        <v>301</v>
      </c>
      <c r="BG4" s="255"/>
      <c r="BH4" s="880"/>
      <c r="BI4" s="29"/>
      <c r="BJ4" s="29"/>
      <c r="BO4" s="793" t="s">
        <v>614</v>
      </c>
      <c r="BP4" s="799"/>
      <c r="BQ4" s="792"/>
      <c r="BR4" s="799"/>
      <c r="BS4" s="792"/>
      <c r="BT4" s="740"/>
      <c r="BU4" s="792"/>
      <c r="BW4" s="793" t="s">
        <v>614</v>
      </c>
      <c r="BX4" s="799"/>
      <c r="BY4" s="792"/>
      <c r="BZ4" s="799"/>
      <c r="CA4" s="792"/>
      <c r="CB4" s="740"/>
      <c r="CC4" s="792"/>
      <c r="DG4" s="1029"/>
      <c r="DH4" s="1029"/>
      <c r="DI4" s="1029"/>
      <c r="DJ4" s="1029"/>
      <c r="DK4" s="1029"/>
    </row>
    <row r="5" spans="1:115" ht="15" customHeight="1" thickBot="1">
      <c r="A5" s="789" t="s">
        <v>15</v>
      </c>
      <c r="B5" s="1539"/>
      <c r="C5" s="1540"/>
      <c r="D5" s="1541"/>
      <c r="F5" s="854" t="s">
        <v>51</v>
      </c>
      <c r="G5" s="255"/>
      <c r="H5" s="255"/>
      <c r="I5" s="792"/>
      <c r="K5" s="854" t="str">
        <f>+'Información General'!W53</f>
        <v>Equipo de refrescado</v>
      </c>
      <c r="L5" s="208"/>
      <c r="M5" s="208"/>
      <c r="N5" s="792"/>
      <c r="O5" s="29"/>
      <c r="P5" s="29"/>
      <c r="R5" s="854" t="s">
        <v>1225</v>
      </c>
      <c r="S5" s="80"/>
      <c r="T5" s="856"/>
      <c r="V5" s="809" t="s">
        <v>1061</v>
      </c>
      <c r="W5" s="810"/>
      <c r="X5" s="1568" t="s">
        <v>1062</v>
      </c>
      <c r="Y5" s="811"/>
      <c r="AD5" s="831" t="s">
        <v>1248</v>
      </c>
      <c r="AE5" s="255"/>
      <c r="AF5" s="255"/>
      <c r="AG5" s="792"/>
      <c r="AI5" s="749"/>
      <c r="AK5" s="1362"/>
      <c r="AL5" s="255"/>
      <c r="AM5" s="738"/>
      <c r="AN5" s="738"/>
      <c r="AO5" s="255"/>
      <c r="AP5" s="849"/>
      <c r="AR5" s="854" t="s">
        <v>350</v>
      </c>
      <c r="AS5" s="739"/>
      <c r="AT5" s="739"/>
      <c r="AU5" s="739"/>
      <c r="AV5" s="736" t="s">
        <v>433</v>
      </c>
      <c r="AW5" s="251"/>
      <c r="AX5" s="251"/>
      <c r="AY5" s="755"/>
      <c r="BB5" s="799" t="s">
        <v>1064</v>
      </c>
      <c r="BC5" s="255"/>
      <c r="BD5" s="29"/>
      <c r="BE5" s="29"/>
      <c r="BF5" s="255" t="s">
        <v>1064</v>
      </c>
      <c r="BG5" s="255"/>
      <c r="BH5" s="880"/>
      <c r="BI5" s="29"/>
      <c r="BJ5" s="29"/>
      <c r="BO5" s="793"/>
      <c r="BP5" s="799"/>
      <c r="BQ5" s="792"/>
      <c r="BR5" s="799"/>
      <c r="BS5" s="792"/>
      <c r="BT5" s="740"/>
      <c r="BU5" s="792"/>
      <c r="BW5" s="793"/>
      <c r="BX5" s="799"/>
      <c r="BY5" s="792"/>
      <c r="BZ5" s="799"/>
      <c r="CA5" s="792"/>
      <c r="CB5" s="740"/>
      <c r="CC5" s="792"/>
      <c r="DG5" s="1029"/>
      <c r="DH5" s="1029"/>
      <c r="DI5" s="1029"/>
      <c r="DJ5" s="1029"/>
      <c r="DK5" s="1029"/>
    </row>
    <row r="6" spans="1:115" ht="15" customHeight="1">
      <c r="A6" s="789" t="s">
        <v>24</v>
      </c>
      <c r="B6" s="1539"/>
      <c r="C6" s="1540"/>
      <c r="D6" s="1541"/>
      <c r="F6" s="854" t="s">
        <v>51</v>
      </c>
      <c r="G6" s="255"/>
      <c r="H6" s="255"/>
      <c r="I6" s="792"/>
      <c r="K6" s="854" t="str">
        <f>+'Información General'!W54</f>
        <v>Equpo de refrigerado</v>
      </c>
      <c r="L6" s="208"/>
      <c r="M6" s="208"/>
      <c r="N6" s="792"/>
      <c r="O6" s="29"/>
      <c r="P6" s="29"/>
      <c r="R6" s="800" t="s">
        <v>1226</v>
      </c>
      <c r="S6" s="255"/>
      <c r="T6" s="792"/>
      <c r="V6" s="798" t="s">
        <v>1065</v>
      </c>
      <c r="W6" s="1570" t="s">
        <v>1066</v>
      </c>
      <c r="X6" s="1571" t="s">
        <v>1067</v>
      </c>
      <c r="Y6" s="1571" t="s">
        <v>1243</v>
      </c>
      <c r="Z6" s="1569" t="s">
        <v>1244</v>
      </c>
      <c r="AD6" s="1584" t="s">
        <v>328</v>
      </c>
      <c r="AE6" s="255"/>
      <c r="AF6" s="29"/>
      <c r="AG6" s="792"/>
      <c r="AI6" s="749"/>
      <c r="AK6" s="848"/>
      <c r="AL6" s="255"/>
      <c r="AM6" s="738"/>
      <c r="AN6" s="738"/>
      <c r="AO6" s="255"/>
      <c r="AP6" s="849"/>
      <c r="AR6" s="854" t="s">
        <v>356</v>
      </c>
      <c r="AS6" s="739"/>
      <c r="AT6" s="743"/>
      <c r="AU6" s="743"/>
      <c r="AV6" s="79" t="s">
        <v>487</v>
      </c>
      <c r="AW6" s="251"/>
      <c r="AX6" s="251"/>
      <c r="AY6" s="755"/>
      <c r="BB6" s="881" t="s">
        <v>1069</v>
      </c>
      <c r="BC6" s="255" t="s">
        <v>1070</v>
      </c>
      <c r="BD6" s="29"/>
      <c r="BE6" s="29"/>
      <c r="BF6" s="744" t="s">
        <v>1069</v>
      </c>
      <c r="BG6" s="255" t="s">
        <v>1070</v>
      </c>
      <c r="BH6" s="880"/>
      <c r="BI6" s="29"/>
      <c r="BJ6" s="29"/>
      <c r="BO6" s="793"/>
      <c r="BP6" s="799"/>
      <c r="BQ6" s="792"/>
      <c r="BR6" s="799"/>
      <c r="BS6" s="792"/>
      <c r="BT6" s="740"/>
      <c r="BU6" s="792"/>
      <c r="BW6" s="793"/>
      <c r="BX6" s="799"/>
      <c r="BY6" s="792"/>
      <c r="BZ6" s="799"/>
      <c r="CA6" s="792"/>
      <c r="CB6" s="740"/>
      <c r="CC6" s="792"/>
      <c r="DG6" s="1029"/>
      <c r="DH6" s="1029"/>
      <c r="DI6" s="1029"/>
      <c r="DJ6" s="1029"/>
      <c r="DK6" s="1029"/>
    </row>
    <row r="7" spans="1:115" ht="15" customHeight="1">
      <c r="A7" s="789" t="s">
        <v>32</v>
      </c>
      <c r="B7" s="1539"/>
      <c r="C7" s="1540"/>
      <c r="D7" s="1541"/>
      <c r="F7" s="854" t="s">
        <v>51</v>
      </c>
      <c r="G7" s="255"/>
      <c r="H7" s="255"/>
      <c r="I7" s="792"/>
      <c r="K7" s="854" t="str">
        <f>+'Información General'!W55</f>
        <v>Tanque de frío</v>
      </c>
      <c r="L7" s="208"/>
      <c r="M7" s="208"/>
      <c r="N7" s="792"/>
      <c r="O7" s="29"/>
      <c r="P7" s="29"/>
      <c r="R7" s="800" t="s">
        <v>1227</v>
      </c>
      <c r="S7" s="80"/>
      <c r="T7" s="856"/>
      <c r="V7" s="799" t="s">
        <v>1071</v>
      </c>
      <c r="W7" s="255"/>
      <c r="X7" s="250"/>
      <c r="Y7" s="736"/>
      <c r="Z7" s="792"/>
      <c r="AD7" s="1584" t="s">
        <v>335</v>
      </c>
      <c r="AE7" s="255"/>
      <c r="AF7" s="29"/>
      <c r="AG7" s="792"/>
      <c r="AI7" s="749"/>
      <c r="AK7" s="1362"/>
      <c r="AL7" s="255"/>
      <c r="AM7" s="738"/>
      <c r="AN7" s="738"/>
      <c r="AO7" s="255"/>
      <c r="AP7" s="849"/>
      <c r="AR7" s="854" t="s">
        <v>361</v>
      </c>
      <c r="AS7" s="739"/>
      <c r="AT7" s="743"/>
      <c r="AU7" s="743"/>
      <c r="AV7" s="79" t="s">
        <v>417</v>
      </c>
      <c r="AW7" s="251"/>
      <c r="AX7" s="251"/>
      <c r="AY7" s="755"/>
      <c r="BB7" s="799"/>
      <c r="BC7" s="255"/>
      <c r="BD7" s="29"/>
      <c r="BE7" s="29"/>
      <c r="BF7" s="255"/>
      <c r="BG7" s="255"/>
      <c r="BH7" s="880"/>
      <c r="BI7" s="29"/>
      <c r="BJ7" s="29"/>
      <c r="BO7" s="793"/>
      <c r="BP7" s="799"/>
      <c r="BQ7" s="792"/>
      <c r="BR7" s="799"/>
      <c r="BS7" s="792"/>
      <c r="BT7" s="740"/>
      <c r="BU7" s="792"/>
      <c r="BW7" s="793"/>
      <c r="BX7" s="799"/>
      <c r="BY7" s="792"/>
      <c r="BZ7" s="799"/>
      <c r="CA7" s="792"/>
      <c r="CB7" s="740"/>
      <c r="CC7" s="792"/>
      <c r="DG7" s="1029"/>
      <c r="DH7" s="1029"/>
      <c r="DI7" s="1029"/>
      <c r="DJ7" s="1029"/>
      <c r="DK7" s="1029"/>
    </row>
    <row r="8" spans="1:115" ht="15" customHeight="1">
      <c r="A8" s="789" t="s">
        <v>36</v>
      </c>
      <c r="B8" s="1539"/>
      <c r="C8" s="1540"/>
      <c r="D8" s="1542"/>
      <c r="F8" s="872" t="s">
        <v>70</v>
      </c>
      <c r="G8" s="1553"/>
      <c r="H8" s="1553"/>
      <c r="I8" s="1554"/>
      <c r="K8" s="854" t="str">
        <f>+'Información General'!W56</f>
        <v>Motor</v>
      </c>
      <c r="L8" s="208"/>
      <c r="M8" s="208"/>
      <c r="N8" s="792"/>
      <c r="O8" s="29"/>
      <c r="P8" s="29"/>
      <c r="R8" s="800" t="s">
        <v>1228</v>
      </c>
      <c r="S8" s="80"/>
      <c r="T8" s="856"/>
      <c r="V8" s="800" t="s">
        <v>1073</v>
      </c>
      <c r="W8" s="255"/>
      <c r="X8" s="250"/>
      <c r="Y8" s="736"/>
      <c r="Z8" s="792"/>
      <c r="AD8" s="1584" t="s">
        <v>342</v>
      </c>
      <c r="AE8" s="255"/>
      <c r="AF8" s="29"/>
      <c r="AG8" s="792"/>
      <c r="AI8" s="749"/>
      <c r="AK8" s="848" t="str">
        <f>+'II. Datos  Ganaderos'!Q33</f>
        <v>     Vaca seca</v>
      </c>
      <c r="AL8" s="255"/>
      <c r="AM8" s="738"/>
      <c r="AN8" s="738"/>
      <c r="AO8" s="255"/>
      <c r="AP8" s="849"/>
      <c r="AR8" s="854" t="s">
        <v>366</v>
      </c>
      <c r="AS8" s="739"/>
      <c r="AT8" s="743"/>
      <c r="AU8" s="743"/>
      <c r="AV8" s="79" t="s">
        <v>422</v>
      </c>
      <c r="AW8" s="251"/>
      <c r="AX8" s="251"/>
      <c r="AY8" s="755"/>
      <c r="BB8" s="799"/>
      <c r="BC8" s="255"/>
      <c r="BD8" s="29"/>
      <c r="BE8" s="29"/>
      <c r="BF8" s="255"/>
      <c r="BG8" s="255"/>
      <c r="BH8" s="880"/>
      <c r="BI8" s="29"/>
      <c r="BJ8" s="29"/>
      <c r="BO8" s="793" t="s">
        <v>1069</v>
      </c>
      <c r="BP8" s="799"/>
      <c r="BQ8" s="792"/>
      <c r="BR8" s="799"/>
      <c r="BS8" s="792"/>
      <c r="BT8" s="740"/>
      <c r="BU8" s="792"/>
      <c r="BW8" s="793" t="s">
        <v>1069</v>
      </c>
      <c r="BX8" s="799"/>
      <c r="BY8" s="792"/>
      <c r="BZ8" s="799"/>
      <c r="CA8" s="792"/>
      <c r="CB8" s="740"/>
      <c r="CC8" s="792"/>
      <c r="DG8" s="1029"/>
      <c r="DH8" s="1029"/>
      <c r="DI8" s="1029"/>
      <c r="DJ8" s="1029"/>
      <c r="DK8" s="1029"/>
    </row>
    <row r="9" spans="1:115" ht="15" customHeight="1">
      <c r="A9" s="789" t="s">
        <v>40</v>
      </c>
      <c r="B9" s="1539"/>
      <c r="C9" s="1540"/>
      <c r="D9" s="1541"/>
      <c r="F9" s="854" t="str">
        <f>+'Información General'!W18</f>
        <v>Arado de 5 rejas</v>
      </c>
      <c r="G9" s="255"/>
      <c r="H9" s="255"/>
      <c r="I9" s="792"/>
      <c r="K9" s="854" t="str">
        <f>+'Información General'!W57</f>
        <v>RIEGO</v>
      </c>
      <c r="L9" s="208"/>
      <c r="M9" s="208"/>
      <c r="N9" s="792"/>
      <c r="O9" s="29"/>
      <c r="P9" s="29"/>
      <c r="R9" s="800" t="s">
        <v>1229</v>
      </c>
      <c r="S9" s="255"/>
      <c r="T9" s="792"/>
      <c r="V9" s="800" t="s">
        <v>1075</v>
      </c>
      <c r="W9" s="255"/>
      <c r="X9" s="250"/>
      <c r="Y9" s="736"/>
      <c r="Z9" s="792"/>
      <c r="AD9" s="799"/>
      <c r="AE9" s="208"/>
      <c r="AF9" s="29"/>
      <c r="AG9" s="792"/>
      <c r="AI9" s="749"/>
      <c r="AK9" s="848"/>
      <c r="AL9" s="255"/>
      <c r="AM9" s="738"/>
      <c r="AN9" s="738"/>
      <c r="AO9" s="255"/>
      <c r="AP9" s="849"/>
      <c r="AR9" s="854" t="s">
        <v>1076</v>
      </c>
      <c r="AS9" s="739"/>
      <c r="AT9" s="743"/>
      <c r="AU9" s="743"/>
      <c r="AV9" s="79"/>
      <c r="AW9" s="251"/>
      <c r="AX9" s="251"/>
      <c r="AY9" s="755"/>
      <c r="BB9" s="799"/>
      <c r="BC9" s="255"/>
      <c r="BD9" s="29"/>
      <c r="BE9" s="29"/>
      <c r="BF9" s="255"/>
      <c r="BG9" s="255"/>
      <c r="BH9" s="880"/>
      <c r="BI9" s="29"/>
      <c r="BJ9" s="29"/>
      <c r="BO9" s="793"/>
      <c r="BP9" s="799"/>
      <c r="BQ9" s="792"/>
      <c r="BR9" s="799"/>
      <c r="BS9" s="792"/>
      <c r="BT9" s="740"/>
      <c r="BU9" s="792"/>
      <c r="BW9" s="793"/>
      <c r="BX9" s="799"/>
      <c r="BY9" s="792"/>
      <c r="BZ9" s="799"/>
      <c r="CA9" s="792"/>
      <c r="CB9" s="740"/>
      <c r="CC9" s="792"/>
      <c r="DG9" s="1029"/>
      <c r="DH9" s="1029"/>
      <c r="DI9" s="1029"/>
      <c r="DJ9" s="1029"/>
      <c r="DK9" s="1029"/>
    </row>
    <row r="10" spans="1:115" ht="15" customHeight="1">
      <c r="A10" s="789" t="s">
        <v>44</v>
      </c>
      <c r="B10" s="1543"/>
      <c r="C10" s="1540"/>
      <c r="D10" s="1541"/>
      <c r="F10" s="854" t="str">
        <f>+'Información General'!W19</f>
        <v>Rastra de dientes c/rabasto</v>
      </c>
      <c r="G10" s="255"/>
      <c r="H10" s="255"/>
      <c r="I10" s="792"/>
      <c r="K10" s="854" t="str">
        <f>+'Información General'!W58</f>
        <v>Varios</v>
      </c>
      <c r="L10" s="208"/>
      <c r="M10" s="208"/>
      <c r="N10" s="792"/>
      <c r="O10" s="29"/>
      <c r="P10" s="29"/>
      <c r="R10" s="881" t="s">
        <v>1077</v>
      </c>
      <c r="S10" s="255"/>
      <c r="T10" s="792"/>
      <c r="V10" s="800" t="s">
        <v>1078</v>
      </c>
      <c r="W10" s="255"/>
      <c r="X10" s="250"/>
      <c r="Y10" s="736"/>
      <c r="Z10" s="792"/>
      <c r="AD10" s="831" t="s">
        <v>1249</v>
      </c>
      <c r="AE10" s="255"/>
      <c r="AF10" s="255"/>
      <c r="AG10" s="792"/>
      <c r="AI10" s="749"/>
      <c r="AK10" s="848"/>
      <c r="AL10" s="255"/>
      <c r="AM10" s="738"/>
      <c r="AN10" s="738"/>
      <c r="AO10" s="255"/>
      <c r="AP10" s="849"/>
      <c r="AR10" s="854" t="s">
        <v>1080</v>
      </c>
      <c r="AS10" s="739"/>
      <c r="AT10" s="743"/>
      <c r="AU10" s="743"/>
      <c r="AV10" s="28" t="s">
        <v>245</v>
      </c>
      <c r="AW10" s="251"/>
      <c r="AX10" s="251"/>
      <c r="AY10" s="755"/>
      <c r="BB10" s="799"/>
      <c r="BC10" s="255"/>
      <c r="BD10" s="29"/>
      <c r="BE10" s="29"/>
      <c r="BF10" s="255"/>
      <c r="BG10" s="255"/>
      <c r="BH10" s="880"/>
      <c r="BI10" s="29"/>
      <c r="BJ10" s="29"/>
      <c r="BK10" s="29"/>
      <c r="BO10" s="793"/>
      <c r="BP10" s="799"/>
      <c r="BQ10" s="792"/>
      <c r="BR10" s="799"/>
      <c r="BS10" s="792"/>
      <c r="BT10" s="740"/>
      <c r="BU10" s="792"/>
      <c r="BW10" s="793"/>
      <c r="BX10" s="799"/>
      <c r="BY10" s="792"/>
      <c r="BZ10" s="799"/>
      <c r="CA10" s="792"/>
      <c r="CB10" s="740"/>
      <c r="CC10" s="792"/>
      <c r="DG10" s="1029"/>
      <c r="DH10" s="1029"/>
      <c r="DI10" s="1029"/>
      <c r="DJ10" s="1029"/>
      <c r="DK10" s="1029"/>
    </row>
    <row r="11" spans="1:115" ht="15" customHeight="1">
      <c r="A11" s="789" t="s">
        <v>48</v>
      </c>
      <c r="B11" s="1544"/>
      <c r="C11" s="135"/>
      <c r="D11" s="1542"/>
      <c r="F11" s="854" t="str">
        <f>+'Información General'!W20</f>
        <v>Rastra discos doble acción </v>
      </c>
      <c r="G11" s="255"/>
      <c r="H11" s="255"/>
      <c r="I11" s="792"/>
      <c r="K11" s="854" t="str">
        <f>+'Información General'!W59</f>
        <v>…………….....</v>
      </c>
      <c r="L11" s="208"/>
      <c r="M11" s="208"/>
      <c r="N11" s="792"/>
      <c r="O11" s="29"/>
      <c r="P11" s="29"/>
      <c r="R11" s="881" t="s">
        <v>1230</v>
      </c>
      <c r="S11" s="255"/>
      <c r="T11" s="792"/>
      <c r="V11" s="800" t="s">
        <v>1081</v>
      </c>
      <c r="W11" s="255"/>
      <c r="X11" s="250"/>
      <c r="Y11" s="736"/>
      <c r="Z11" s="792"/>
      <c r="AD11" s="1584" t="s">
        <v>328</v>
      </c>
      <c r="AE11" s="736"/>
      <c r="AF11" s="748"/>
      <c r="AG11" s="792"/>
      <c r="AI11" s="749"/>
      <c r="AK11" s="848" t="str">
        <f>+'II. Datos  Ganaderos'!Q34</f>
        <v>     Vaquillonas preñadas</v>
      </c>
      <c r="AL11" s="255"/>
      <c r="AM11" s="738"/>
      <c r="AN11" s="738"/>
      <c r="AO11" s="255"/>
      <c r="AP11" s="849"/>
      <c r="AR11" s="854" t="s">
        <v>383</v>
      </c>
      <c r="AS11" s="739"/>
      <c r="AT11" s="743"/>
      <c r="AU11" s="743"/>
      <c r="AV11" s="79" t="s">
        <v>1082</v>
      </c>
      <c r="AW11" s="251"/>
      <c r="AX11" s="251"/>
      <c r="AY11" s="755"/>
      <c r="BB11" s="799"/>
      <c r="BC11" s="255"/>
      <c r="BD11" s="29"/>
      <c r="BE11" s="29"/>
      <c r="BF11" s="255"/>
      <c r="BG11" s="255"/>
      <c r="BH11" s="880"/>
      <c r="BI11" s="734"/>
      <c r="BJ11" s="117"/>
      <c r="BK11" s="29"/>
      <c r="BO11" s="793"/>
      <c r="BP11" s="799"/>
      <c r="BQ11" s="792"/>
      <c r="BR11" s="799"/>
      <c r="BS11" s="792"/>
      <c r="BT11" s="740"/>
      <c r="BU11" s="792"/>
      <c r="BW11" s="793"/>
      <c r="BX11" s="799"/>
      <c r="BY11" s="792"/>
      <c r="BZ11" s="799"/>
      <c r="CA11" s="792"/>
      <c r="CB11" s="740"/>
      <c r="CC11" s="792"/>
      <c r="DG11" s="1029"/>
      <c r="DH11" s="1029"/>
      <c r="DI11" s="1029"/>
      <c r="DJ11" s="1029"/>
      <c r="DK11" s="1029"/>
    </row>
    <row r="12" spans="1:115" ht="15" customHeight="1">
      <c r="A12" s="895" t="s">
        <v>1143</v>
      </c>
      <c r="B12" s="750"/>
      <c r="C12" s="751"/>
      <c r="D12" s="896"/>
      <c r="F12" s="854" t="str">
        <f>+'Información General'!W21</f>
        <v>Rastra desencontrada</v>
      </c>
      <c r="G12" s="255"/>
      <c r="H12" s="255"/>
      <c r="I12" s="792"/>
      <c r="K12" s="854" t="str">
        <f>+'Información General'!W60</f>
        <v>……………….</v>
      </c>
      <c r="L12" s="208"/>
      <c r="M12" s="208"/>
      <c r="N12" s="792"/>
      <c r="O12" s="29"/>
      <c r="P12" s="29"/>
      <c r="R12" s="799" t="s">
        <v>1231</v>
      </c>
      <c r="S12" s="255"/>
      <c r="T12" s="792"/>
      <c r="V12" s="800" t="s">
        <v>1083</v>
      </c>
      <c r="W12" s="255"/>
      <c r="X12" s="250"/>
      <c r="Y12" s="736"/>
      <c r="Z12" s="792"/>
      <c r="AD12" s="1584" t="s">
        <v>335</v>
      </c>
      <c r="AE12" s="736"/>
      <c r="AF12" s="1450"/>
      <c r="AG12" s="792"/>
      <c r="AI12" s="749"/>
      <c r="AK12" s="848"/>
      <c r="AL12" s="255"/>
      <c r="AM12" s="738"/>
      <c r="AN12" s="738"/>
      <c r="AO12" s="255"/>
      <c r="AP12" s="849"/>
      <c r="AR12" s="854" t="s">
        <v>389</v>
      </c>
      <c r="AS12" s="739"/>
      <c r="AT12" s="743"/>
      <c r="AU12" s="743"/>
      <c r="AV12" s="79" t="s">
        <v>417</v>
      </c>
      <c r="AW12" s="251"/>
      <c r="AX12" s="251"/>
      <c r="AY12" s="755"/>
      <c r="BB12" s="799"/>
      <c r="BC12" s="255"/>
      <c r="BD12" s="29"/>
      <c r="BE12" s="29"/>
      <c r="BF12" s="255"/>
      <c r="BG12" s="255"/>
      <c r="BH12" s="880"/>
      <c r="BI12" s="29"/>
      <c r="BJ12" s="29"/>
      <c r="BK12" s="29"/>
      <c r="BO12" s="838" t="s">
        <v>50</v>
      </c>
      <c r="BP12" s="799"/>
      <c r="BQ12" s="792"/>
      <c r="BR12" s="799"/>
      <c r="BS12" s="792"/>
      <c r="BT12" s="740"/>
      <c r="BU12" s="792"/>
      <c r="BW12" s="838" t="s">
        <v>50</v>
      </c>
      <c r="BX12" s="799"/>
      <c r="BY12" s="792"/>
      <c r="BZ12" s="799"/>
      <c r="CA12" s="792"/>
      <c r="CB12" s="740"/>
      <c r="CC12" s="792"/>
      <c r="DG12" s="1029"/>
      <c r="DH12" s="1029"/>
      <c r="DI12" s="1029"/>
      <c r="DJ12" s="1029"/>
      <c r="DK12" s="1029"/>
    </row>
    <row r="13" spans="1:115" ht="15" customHeight="1">
      <c r="A13" s="819" t="s">
        <v>60</v>
      </c>
      <c r="B13" s="169"/>
      <c r="C13" s="169"/>
      <c r="D13" s="1545"/>
      <c r="F13" s="854" t="str">
        <f>+'Información General'!W22</f>
        <v>Cincel 13 púas</v>
      </c>
      <c r="G13" s="255"/>
      <c r="H13" s="255"/>
      <c r="I13" s="792"/>
      <c r="K13" s="903"/>
      <c r="L13" s="117"/>
      <c r="M13" s="117"/>
      <c r="N13" s="880"/>
      <c r="O13" s="29"/>
      <c r="P13" s="29"/>
      <c r="R13" s="854" t="s">
        <v>1232</v>
      </c>
      <c r="S13" s="255"/>
      <c r="T13" s="792"/>
      <c r="V13" s="800" t="s">
        <v>1085</v>
      </c>
      <c r="W13" s="255"/>
      <c r="X13" s="250"/>
      <c r="Y13" s="736"/>
      <c r="Z13" s="792"/>
      <c r="AD13" s="1584" t="s">
        <v>342</v>
      </c>
      <c r="AE13" s="736"/>
      <c r="AF13" s="1450"/>
      <c r="AG13" s="792"/>
      <c r="AI13" s="1576"/>
      <c r="AK13" s="848" t="str">
        <f>+'II. Datos  Ganaderos'!Q35</f>
        <v>     Terneros/as &lt; 1 año</v>
      </c>
      <c r="AL13" s="255"/>
      <c r="AM13" s="738"/>
      <c r="AN13" s="738"/>
      <c r="AO13" s="255"/>
      <c r="AP13" s="849"/>
      <c r="AR13" s="854" t="s">
        <v>395</v>
      </c>
      <c r="AS13" s="739"/>
      <c r="AT13" s="743"/>
      <c r="AU13" s="743"/>
      <c r="AV13" s="79" t="s">
        <v>422</v>
      </c>
      <c r="AW13" s="251"/>
      <c r="AX13" s="251"/>
      <c r="AY13" s="755"/>
      <c r="BB13" s="799" t="s">
        <v>1088</v>
      </c>
      <c r="BC13" s="208" t="s">
        <v>1070</v>
      </c>
      <c r="BD13" s="250" t="s">
        <v>1089</v>
      </c>
      <c r="BE13" s="29"/>
      <c r="BF13" s="255" t="s">
        <v>1088</v>
      </c>
      <c r="BG13" s="208" t="s">
        <v>1070</v>
      </c>
      <c r="BH13" s="882" t="s">
        <v>1089</v>
      </c>
      <c r="BI13" s="29"/>
      <c r="BJ13" s="29"/>
      <c r="BK13" s="29"/>
      <c r="BO13" s="793"/>
      <c r="BP13" s="799"/>
      <c r="BQ13" s="792"/>
      <c r="BR13" s="799"/>
      <c r="BS13" s="792"/>
      <c r="BT13" s="740"/>
      <c r="BU13" s="792"/>
      <c r="BW13" s="793"/>
      <c r="BX13" s="799"/>
      <c r="BY13" s="792"/>
      <c r="BZ13" s="799"/>
      <c r="CA13" s="792"/>
      <c r="CB13" s="740"/>
      <c r="CC13" s="792"/>
      <c r="DG13" s="1029"/>
      <c r="DH13" s="1029"/>
      <c r="DI13" s="1029"/>
      <c r="DJ13" s="1029"/>
      <c r="DK13" s="1029"/>
    </row>
    <row r="14" spans="1:115" ht="15" customHeight="1">
      <c r="A14" s="819" t="s">
        <v>40</v>
      </c>
      <c r="B14" s="169"/>
      <c r="C14" s="169"/>
      <c r="D14" s="1545"/>
      <c r="F14" s="854" t="str">
        <f>+'Información General'!W23</f>
        <v>Sembradora grano fino y grueso SD</v>
      </c>
      <c r="G14" s="255"/>
      <c r="H14" s="255"/>
      <c r="I14" s="792"/>
      <c r="K14" s="1555" t="s">
        <v>1090</v>
      </c>
      <c r="L14" s="751"/>
      <c r="M14" s="751"/>
      <c r="N14" s="896"/>
      <c r="O14" s="29"/>
      <c r="P14" s="29"/>
      <c r="R14" s="854" t="s">
        <v>1233</v>
      </c>
      <c r="S14" s="80"/>
      <c r="T14" s="856"/>
      <c r="V14" s="800" t="s">
        <v>1091</v>
      </c>
      <c r="W14" s="255"/>
      <c r="X14" s="250"/>
      <c r="Y14" s="736"/>
      <c r="Z14" s="792"/>
      <c r="AD14" s="834"/>
      <c r="AE14" s="1585"/>
      <c r="AF14" s="747"/>
      <c r="AG14" s="792"/>
      <c r="AI14" s="1580"/>
      <c r="AK14" s="848"/>
      <c r="AL14" s="255"/>
      <c r="AM14" s="738"/>
      <c r="AN14" s="738"/>
      <c r="AO14" s="255"/>
      <c r="AP14" s="849"/>
      <c r="AR14" s="854" t="s">
        <v>379</v>
      </c>
      <c r="AS14" s="739"/>
      <c r="AT14" s="743"/>
      <c r="AU14" s="743"/>
      <c r="AV14" s="79"/>
      <c r="AW14" s="251"/>
      <c r="AX14" s="251"/>
      <c r="AY14" s="871"/>
      <c r="BB14" s="799"/>
      <c r="BC14" s="208"/>
      <c r="BD14" s="208"/>
      <c r="BE14" s="29"/>
      <c r="BF14" s="255"/>
      <c r="BG14" s="208"/>
      <c r="BH14" s="883"/>
      <c r="BI14" s="29"/>
      <c r="BJ14" s="29"/>
      <c r="BK14" s="29"/>
      <c r="BO14" s="793"/>
      <c r="BP14" s="799"/>
      <c r="BQ14" s="792"/>
      <c r="BR14" s="799"/>
      <c r="BS14" s="792"/>
      <c r="BT14" s="740"/>
      <c r="BU14" s="792"/>
      <c r="BW14" s="793"/>
      <c r="BX14" s="799"/>
      <c r="BY14" s="792"/>
      <c r="BZ14" s="799"/>
      <c r="CA14" s="792"/>
      <c r="CB14" s="740"/>
      <c r="CC14" s="792"/>
      <c r="DG14" s="1029"/>
      <c r="DH14" s="1029"/>
      <c r="DI14" s="1029"/>
      <c r="DJ14" s="1029"/>
      <c r="DK14" s="1029"/>
    </row>
    <row r="15" spans="1:115" ht="15" customHeight="1">
      <c r="A15" s="819" t="s">
        <v>44</v>
      </c>
      <c r="B15" s="169"/>
      <c r="C15" s="169"/>
      <c r="D15" s="1545"/>
      <c r="F15" s="854" t="str">
        <f>+'Información General'!W24</f>
        <v>Sembradora grano grueso SD</v>
      </c>
      <c r="G15" s="255"/>
      <c r="H15" s="255"/>
      <c r="I15" s="792"/>
      <c r="K15" s="799"/>
      <c r="L15" s="208"/>
      <c r="M15" s="208"/>
      <c r="N15" s="792"/>
      <c r="O15" s="29"/>
      <c r="P15" s="29"/>
      <c r="R15" s="800" t="s">
        <v>1234</v>
      </c>
      <c r="S15" s="80"/>
      <c r="T15" s="856"/>
      <c r="V15" s="800" t="s">
        <v>1097</v>
      </c>
      <c r="W15" s="255"/>
      <c r="X15" s="250"/>
      <c r="Y15" s="736"/>
      <c r="Z15" s="792"/>
      <c r="AD15" s="800" t="s">
        <v>1250</v>
      </c>
      <c r="AE15" s="255"/>
      <c r="AF15" s="736"/>
      <c r="AG15" s="792"/>
      <c r="AI15" s="749"/>
      <c r="AK15" s="848" t="str">
        <f>+'II. Datos  Ganaderos'!Q36</f>
        <v>     Terneros/as &lt; 1 año</v>
      </c>
      <c r="AL15" s="255"/>
      <c r="AM15" s="738"/>
      <c r="AN15" s="738"/>
      <c r="AO15" s="255"/>
      <c r="AP15" s="849"/>
      <c r="AR15" s="854" t="s">
        <v>404</v>
      </c>
      <c r="AS15" s="739"/>
      <c r="AT15" s="743"/>
      <c r="AU15" s="743"/>
      <c r="AV15" s="79"/>
      <c r="AW15" s="251"/>
      <c r="AX15" s="251"/>
      <c r="AY15" s="871"/>
      <c r="BB15" s="799"/>
      <c r="BC15" s="208"/>
      <c r="BD15" s="208"/>
      <c r="BE15" s="29"/>
      <c r="BF15" s="255"/>
      <c r="BG15" s="208"/>
      <c r="BH15" s="883"/>
      <c r="BI15" s="29"/>
      <c r="BJ15" s="29"/>
      <c r="BK15" s="29"/>
      <c r="BO15" s="793" t="s">
        <v>908</v>
      </c>
      <c r="BP15" s="799"/>
      <c r="BQ15" s="792"/>
      <c r="BR15" s="799"/>
      <c r="BS15" s="792"/>
      <c r="BT15" s="740"/>
      <c r="BU15" s="792"/>
      <c r="BW15" s="793" t="s">
        <v>908</v>
      </c>
      <c r="BX15" s="799"/>
      <c r="BY15" s="792"/>
      <c r="BZ15" s="799"/>
      <c r="CA15" s="792"/>
      <c r="CB15" s="740"/>
      <c r="CC15" s="792"/>
      <c r="DG15" s="1029"/>
      <c r="DH15" s="1029"/>
      <c r="DI15" s="1029"/>
      <c r="DJ15" s="1029"/>
      <c r="DK15" s="1029"/>
    </row>
    <row r="16" spans="1:115" ht="15" customHeight="1">
      <c r="A16" s="819" t="s">
        <v>48</v>
      </c>
      <c r="B16" s="169"/>
      <c r="C16" s="169"/>
      <c r="D16" s="1545"/>
      <c r="F16" s="854" t="str">
        <f>+'Información General'!W25</f>
        <v>Pulverizadora </v>
      </c>
      <c r="G16" s="255"/>
      <c r="H16" s="255"/>
      <c r="I16" s="792"/>
      <c r="K16" s="799"/>
      <c r="L16" s="208"/>
      <c r="M16" s="208"/>
      <c r="N16" s="792"/>
      <c r="O16" s="29"/>
      <c r="P16" s="29"/>
      <c r="R16" s="854" t="s">
        <v>1235</v>
      </c>
      <c r="S16" s="80"/>
      <c r="T16" s="856"/>
      <c r="V16" s="800" t="s">
        <v>1098</v>
      </c>
      <c r="W16" s="255"/>
      <c r="X16" s="250"/>
      <c r="Y16" s="736"/>
      <c r="Z16" s="792"/>
      <c r="AD16" s="1584" t="s">
        <v>328</v>
      </c>
      <c r="AE16" s="255"/>
      <c r="AF16" s="29"/>
      <c r="AG16" s="792"/>
      <c r="AI16" s="749"/>
      <c r="AK16" s="848"/>
      <c r="AL16" s="255"/>
      <c r="AM16" s="738"/>
      <c r="AN16" s="738"/>
      <c r="AO16" s="255"/>
      <c r="AP16" s="849"/>
      <c r="AR16" s="854"/>
      <c r="AS16" s="79"/>
      <c r="AT16" s="248"/>
      <c r="AU16" s="248"/>
      <c r="AV16" s="73"/>
      <c r="AW16" s="79"/>
      <c r="AX16" s="248"/>
      <c r="AY16" s="871"/>
      <c r="BB16" s="881"/>
      <c r="BC16" s="208" t="s">
        <v>1086</v>
      </c>
      <c r="BD16" s="250" t="s">
        <v>1089</v>
      </c>
      <c r="BE16" s="29"/>
      <c r="BF16" s="744"/>
      <c r="BG16" s="208" t="s">
        <v>1086</v>
      </c>
      <c r="BH16" s="882" t="s">
        <v>1089</v>
      </c>
      <c r="BI16" s="29"/>
      <c r="BJ16" s="29"/>
      <c r="BK16" s="29"/>
      <c r="BO16" s="793"/>
      <c r="BP16" s="799"/>
      <c r="BQ16" s="792"/>
      <c r="BR16" s="799"/>
      <c r="BS16" s="792"/>
      <c r="BT16" s="740"/>
      <c r="BU16" s="792"/>
      <c r="BW16" s="793"/>
      <c r="BX16" s="799"/>
      <c r="BY16" s="792"/>
      <c r="BZ16" s="799"/>
      <c r="CA16" s="792"/>
      <c r="CB16" s="740"/>
      <c r="CC16" s="792"/>
      <c r="DG16" s="1029"/>
      <c r="DH16" s="1029"/>
      <c r="DI16" s="1029"/>
      <c r="DJ16" s="1029"/>
      <c r="DK16" s="1029"/>
    </row>
    <row r="17" spans="1:115" ht="15" customHeight="1">
      <c r="A17" s="895" t="s">
        <v>1100</v>
      </c>
      <c r="B17" s="750"/>
      <c r="C17" s="751"/>
      <c r="D17" s="896"/>
      <c r="F17" s="854" t="str">
        <f>+'Información General'!W26</f>
        <v>……</v>
      </c>
      <c r="G17" s="255"/>
      <c r="H17" s="255"/>
      <c r="I17" s="792"/>
      <c r="K17" s="799"/>
      <c r="L17" s="208"/>
      <c r="M17" s="208"/>
      <c r="N17" s="792"/>
      <c r="O17" s="29"/>
      <c r="P17" s="29"/>
      <c r="R17" s="854" t="s">
        <v>1236</v>
      </c>
      <c r="S17" s="80"/>
      <c r="T17" s="856"/>
      <c r="V17" s="800" t="s">
        <v>1099</v>
      </c>
      <c r="W17" s="255"/>
      <c r="X17" s="250"/>
      <c r="Y17" s="736"/>
      <c r="Z17" s="792"/>
      <c r="AD17" s="1584" t="s">
        <v>335</v>
      </c>
      <c r="AE17" s="255"/>
      <c r="AF17" s="29"/>
      <c r="AG17" s="792"/>
      <c r="AI17" s="749"/>
      <c r="AK17" s="1618" t="s">
        <v>106</v>
      </c>
      <c r="AL17" s="1553"/>
      <c r="AM17" s="1619"/>
      <c r="AN17" s="1619"/>
      <c r="AO17" s="1553"/>
      <c r="AP17" s="1620"/>
      <c r="AR17" s="872" t="s">
        <v>994</v>
      </c>
      <c r="AS17" s="321" t="s">
        <v>18</v>
      </c>
      <c r="AT17" s="321" t="s">
        <v>343</v>
      </c>
      <c r="AU17" s="321" t="s">
        <v>344</v>
      </c>
      <c r="AV17" s="376" t="str">
        <f>+AR17</f>
        <v>COMPRAS ANUALES</v>
      </c>
      <c r="AW17" s="321" t="s">
        <v>18</v>
      </c>
      <c r="AX17" s="321" t="s">
        <v>343</v>
      </c>
      <c r="AY17" s="870" t="s">
        <v>344</v>
      </c>
      <c r="BB17" s="884" t="s">
        <v>614</v>
      </c>
      <c r="BC17" s="255"/>
      <c r="BD17" s="255"/>
      <c r="BE17" s="29"/>
      <c r="BF17" s="746" t="s">
        <v>614</v>
      </c>
      <c r="BG17" s="255"/>
      <c r="BH17" s="792"/>
      <c r="BI17" s="29"/>
      <c r="BJ17" s="29"/>
      <c r="BK17" s="1652" t="s">
        <v>1260</v>
      </c>
      <c r="BL17" s="1653"/>
      <c r="BM17" s="1654"/>
      <c r="BO17" s="793"/>
      <c r="BP17" s="799"/>
      <c r="BQ17" s="792"/>
      <c r="BR17" s="799"/>
      <c r="BS17" s="792"/>
      <c r="BT17" s="740"/>
      <c r="BU17" s="792"/>
      <c r="BW17" s="793"/>
      <c r="BX17" s="799"/>
      <c r="BY17" s="792"/>
      <c r="BZ17" s="799"/>
      <c r="CA17" s="792"/>
      <c r="CB17" s="740"/>
      <c r="CC17" s="792"/>
      <c r="DG17" s="1029"/>
      <c r="DH17" s="1029"/>
      <c r="DI17" s="1029"/>
      <c r="DJ17" s="1029"/>
      <c r="DK17" s="1029"/>
    </row>
    <row r="18" spans="1:115" ht="15" customHeight="1">
      <c r="A18" s="831" t="s">
        <v>1186</v>
      </c>
      <c r="B18" s="745"/>
      <c r="C18" s="253" t="s">
        <v>511</v>
      </c>
      <c r="D18" s="1546"/>
      <c r="F18" s="854" t="str">
        <f>+'Información General'!W27</f>
        <v>……</v>
      </c>
      <c r="G18" s="255"/>
      <c r="H18" s="255"/>
      <c r="I18" s="792"/>
      <c r="K18" s="799"/>
      <c r="L18" s="208"/>
      <c r="M18" s="208"/>
      <c r="N18" s="792"/>
      <c r="O18" s="29"/>
      <c r="P18" s="29"/>
      <c r="R18" s="854" t="s">
        <v>1237</v>
      </c>
      <c r="S18" s="80"/>
      <c r="T18" s="856"/>
      <c r="V18" s="799" t="s">
        <v>1242</v>
      </c>
      <c r="W18" s="255"/>
      <c r="X18" s="250"/>
      <c r="Y18" s="255"/>
      <c r="Z18" s="792"/>
      <c r="AD18" s="1584" t="s">
        <v>342</v>
      </c>
      <c r="AE18" s="255"/>
      <c r="AF18" s="29"/>
      <c r="AG18" s="792"/>
      <c r="AI18" s="749"/>
      <c r="AK18" s="848" t="str">
        <f>+'II. Datos  Ganaderos'!Q87</f>
        <v>Novillos invernada</v>
      </c>
      <c r="AL18" s="255"/>
      <c r="AM18" s="738"/>
      <c r="AN18" s="738"/>
      <c r="AO18" s="255"/>
      <c r="AP18" s="849"/>
      <c r="AR18" s="873" t="str">
        <f>AR6</f>
        <v>     Vaca en producción</v>
      </c>
      <c r="AS18" s="739"/>
      <c r="AT18" s="739"/>
      <c r="AU18" s="739"/>
      <c r="AV18" s="737" t="s">
        <v>433</v>
      </c>
      <c r="AW18" s="251"/>
      <c r="AX18" s="251"/>
      <c r="AY18" s="755"/>
      <c r="BB18" s="884" t="s">
        <v>616</v>
      </c>
      <c r="BC18" s="746"/>
      <c r="BD18" s="746"/>
      <c r="BE18" s="746"/>
      <c r="BF18" s="746" t="s">
        <v>616</v>
      </c>
      <c r="BG18" s="746"/>
      <c r="BH18" s="885"/>
      <c r="BI18" s="29"/>
      <c r="BJ18" s="29"/>
      <c r="BK18" s="1655"/>
      <c r="BL18" s="1656"/>
      <c r="BM18" s="1657"/>
      <c r="BO18" s="793"/>
      <c r="BP18" s="799"/>
      <c r="BQ18" s="792"/>
      <c r="BR18" s="799"/>
      <c r="BS18" s="792"/>
      <c r="BT18" s="740"/>
      <c r="BU18" s="792"/>
      <c r="BW18" s="793"/>
      <c r="BX18" s="799"/>
      <c r="BY18" s="792"/>
      <c r="BZ18" s="799"/>
      <c r="CA18" s="792"/>
      <c r="CB18" s="740"/>
      <c r="CC18" s="792"/>
      <c r="DG18" s="1029"/>
      <c r="DH18" s="1029"/>
      <c r="DI18" s="1029"/>
      <c r="DJ18" s="1029"/>
      <c r="DK18" s="1029"/>
    </row>
    <row r="19" spans="1:115" ht="15" customHeight="1" thickBot="1">
      <c r="A19" s="800" t="s">
        <v>1187</v>
      </c>
      <c r="B19" s="745"/>
      <c r="C19" s="249" t="s">
        <v>74</v>
      </c>
      <c r="D19" s="1547"/>
      <c r="F19" s="854" t="str">
        <f>+'Información General'!W29</f>
        <v>……</v>
      </c>
      <c r="G19" s="255"/>
      <c r="H19" s="255"/>
      <c r="I19" s="792"/>
      <c r="K19" s="799"/>
      <c r="L19" s="208"/>
      <c r="M19" s="208"/>
      <c r="N19" s="792"/>
      <c r="O19" s="29"/>
      <c r="P19" s="29"/>
      <c r="R19" s="854" t="s">
        <v>1238</v>
      </c>
      <c r="S19" s="80"/>
      <c r="T19" s="856"/>
      <c r="V19" s="801" t="s">
        <v>67</v>
      </c>
      <c r="W19" s="802"/>
      <c r="X19" s="803"/>
      <c r="Y19" s="802"/>
      <c r="Z19" s="804"/>
      <c r="AD19" s="831"/>
      <c r="AE19" s="255"/>
      <c r="AF19" s="29"/>
      <c r="AG19" s="792"/>
      <c r="AI19" s="749"/>
      <c r="AK19" s="848"/>
      <c r="AL19" s="255"/>
      <c r="AM19" s="738"/>
      <c r="AN19" s="738"/>
      <c r="AO19" s="255"/>
      <c r="AP19" s="849"/>
      <c r="AR19" s="854" t="s">
        <v>361</v>
      </c>
      <c r="AS19" s="739"/>
      <c r="AT19" s="743"/>
      <c r="AU19" s="743"/>
      <c r="AV19" s="79" t="s">
        <v>406</v>
      </c>
      <c r="AW19" s="251"/>
      <c r="AX19" s="251"/>
      <c r="AY19" s="755"/>
      <c r="BB19" s="884" t="s">
        <v>619</v>
      </c>
      <c r="BC19" s="746"/>
      <c r="BD19" s="746"/>
      <c r="BE19" s="746"/>
      <c r="BF19" s="746" t="s">
        <v>619</v>
      </c>
      <c r="BG19" s="746"/>
      <c r="BH19" s="885"/>
      <c r="BI19" s="29"/>
      <c r="BJ19" s="29"/>
      <c r="BK19" s="1658"/>
      <c r="BL19" s="1659"/>
      <c r="BM19" s="1660"/>
      <c r="BO19" s="793"/>
      <c r="BP19" s="799"/>
      <c r="BQ19" s="792"/>
      <c r="BR19" s="799"/>
      <c r="BS19" s="792"/>
      <c r="BT19" s="740"/>
      <c r="BU19" s="792"/>
      <c r="BW19" s="793"/>
      <c r="BX19" s="799"/>
      <c r="BY19" s="792"/>
      <c r="BZ19" s="799"/>
      <c r="CA19" s="792"/>
      <c r="CB19" s="740"/>
      <c r="CC19" s="792"/>
      <c r="DG19" s="1029"/>
      <c r="DH19" s="1029"/>
      <c r="DI19" s="1029"/>
      <c r="DJ19" s="1029"/>
      <c r="DK19" s="1029"/>
    </row>
    <row r="20" spans="1:115" ht="15" customHeight="1" thickBot="1">
      <c r="A20" s="1479" t="s">
        <v>1188</v>
      </c>
      <c r="B20" s="1480"/>
      <c r="C20" s="258" t="s">
        <v>511</v>
      </c>
      <c r="D20" s="1548"/>
      <c r="F20" s="854" t="str">
        <f>+'Información General'!W30</f>
        <v>……</v>
      </c>
      <c r="G20" s="255"/>
      <c r="H20" s="255"/>
      <c r="I20" s="792"/>
      <c r="K20" s="821"/>
      <c r="L20" s="1481"/>
      <c r="M20" s="1481"/>
      <c r="N20" s="808"/>
      <c r="O20" s="29"/>
      <c r="P20" s="29"/>
      <c r="R20" s="854" t="s">
        <v>1193</v>
      </c>
      <c r="S20" s="80"/>
      <c r="T20" s="856"/>
      <c r="V20" s="1482" t="s">
        <v>368</v>
      </c>
      <c r="W20" s="1483" t="s">
        <v>375</v>
      </c>
      <c r="X20" s="1483" t="s">
        <v>1101</v>
      </c>
      <c r="Y20" s="822"/>
      <c r="AD20" s="1586" t="s">
        <v>1084</v>
      </c>
      <c r="AE20" s="802"/>
      <c r="AF20" s="802"/>
      <c r="AG20" s="1587"/>
      <c r="AI20" s="749"/>
      <c r="AK20" s="848" t="str">
        <f>+'II. Datos  Ganaderos'!Q89</f>
        <v>Terneros invernada</v>
      </c>
      <c r="AL20" s="255"/>
      <c r="AM20" s="738"/>
      <c r="AN20" s="738"/>
      <c r="AO20" s="255"/>
      <c r="AP20" s="849"/>
      <c r="AR20" s="854"/>
      <c r="AS20" s="739"/>
      <c r="AT20" s="743"/>
      <c r="AU20" s="743"/>
      <c r="AV20" s="79"/>
      <c r="AW20" s="251"/>
      <c r="AX20" s="251"/>
      <c r="AY20" s="755"/>
      <c r="BB20" s="884"/>
      <c r="BC20" s="746"/>
      <c r="BD20" s="746"/>
      <c r="BE20" s="746"/>
      <c r="BF20" s="746"/>
      <c r="BG20" s="746"/>
      <c r="BH20" s="885"/>
      <c r="BI20" s="29"/>
      <c r="BJ20" s="29"/>
      <c r="BK20" s="29"/>
      <c r="BO20" s="793"/>
      <c r="BP20" s="799"/>
      <c r="BQ20" s="792"/>
      <c r="BR20" s="799"/>
      <c r="BS20" s="792"/>
      <c r="BT20" s="740"/>
      <c r="BU20" s="792"/>
      <c r="BW20" s="793"/>
      <c r="BX20" s="799"/>
      <c r="BY20" s="792"/>
      <c r="BZ20" s="799"/>
      <c r="CA20" s="792"/>
      <c r="CB20" s="740"/>
      <c r="CC20" s="792"/>
      <c r="DG20" s="1029"/>
      <c r="DH20" s="1029"/>
      <c r="DI20" s="1029"/>
      <c r="DJ20" s="1029"/>
      <c r="DK20" s="1029"/>
    </row>
    <row r="21" spans="1:115" ht="15" customHeight="1" thickBot="1">
      <c r="A21" s="1479" t="s">
        <v>1190</v>
      </c>
      <c r="B21" s="1480"/>
      <c r="C21" s="258" t="s">
        <v>74</v>
      </c>
      <c r="D21" s="1548"/>
      <c r="F21" s="854" t="str">
        <f>+'Información General'!W31</f>
        <v>……</v>
      </c>
      <c r="G21" s="255"/>
      <c r="H21" s="255"/>
      <c r="I21" s="792"/>
      <c r="K21" s="821"/>
      <c r="L21" s="1481"/>
      <c r="M21" s="1481"/>
      <c r="N21" s="808"/>
      <c r="O21" s="29"/>
      <c r="P21" s="29"/>
      <c r="R21" s="854" t="s">
        <v>1194</v>
      </c>
      <c r="S21" s="80"/>
      <c r="T21" s="856"/>
      <c r="V21" s="1482"/>
      <c r="W21" s="1483"/>
      <c r="X21" s="1483" t="s">
        <v>1102</v>
      </c>
      <c r="Y21" s="822"/>
      <c r="AI21" s="749"/>
      <c r="AK21" s="848"/>
      <c r="AL21" s="747"/>
      <c r="AM21" s="1360"/>
      <c r="AN21" s="1360"/>
      <c r="AO21" s="747"/>
      <c r="AP21" s="1361"/>
      <c r="AR21" s="854"/>
      <c r="AS21" s="739"/>
      <c r="AT21" s="743"/>
      <c r="AU21" s="743"/>
      <c r="AV21" s="79"/>
      <c r="AW21" s="251"/>
      <c r="AX21" s="251"/>
      <c r="AY21" s="755"/>
      <c r="BB21" s="884"/>
      <c r="BC21" s="746"/>
      <c r="BD21" s="746"/>
      <c r="BE21" s="746"/>
      <c r="BF21" s="746"/>
      <c r="BG21" s="746"/>
      <c r="BH21" s="885"/>
      <c r="BI21" s="29"/>
      <c r="BJ21" s="29"/>
      <c r="BK21" s="29"/>
      <c r="BO21" s="793" t="s">
        <v>907</v>
      </c>
      <c r="BP21" s="799"/>
      <c r="BQ21" s="792"/>
      <c r="BR21" s="799"/>
      <c r="BS21" s="792"/>
      <c r="BT21" s="740"/>
      <c r="BU21" s="792"/>
      <c r="BW21" s="793" t="s">
        <v>907</v>
      </c>
      <c r="BX21" s="799"/>
      <c r="BY21" s="792"/>
      <c r="BZ21" s="799"/>
      <c r="CA21" s="792"/>
      <c r="CB21" s="740"/>
      <c r="CC21" s="792"/>
      <c r="DG21" s="1029"/>
      <c r="DH21" s="1029"/>
      <c r="DI21" s="1029"/>
      <c r="DJ21" s="1029"/>
      <c r="DK21" s="1029"/>
    </row>
    <row r="22" spans="1:115" ht="13.5" customHeight="1" thickBot="1">
      <c r="A22" s="801" t="s">
        <v>1189</v>
      </c>
      <c r="B22" s="897"/>
      <c r="C22" s="898" t="s">
        <v>511</v>
      </c>
      <c r="D22" s="804"/>
      <c r="F22" s="872" t="str">
        <f>+'Información General'!W32</f>
        <v>FORRAJERAS</v>
      </c>
      <c r="G22" s="1553"/>
      <c r="H22" s="1553"/>
      <c r="I22" s="1554"/>
      <c r="K22" s="836"/>
      <c r="L22" s="902"/>
      <c r="M22" s="902"/>
      <c r="N22" s="804"/>
      <c r="O22" s="29"/>
      <c r="P22" s="29"/>
      <c r="R22" s="886"/>
      <c r="S22" s="80"/>
      <c r="T22" s="856"/>
      <c r="V22" s="1482"/>
      <c r="W22" s="1483"/>
      <c r="X22" s="1483"/>
      <c r="Y22" s="822"/>
      <c r="AD22" s="1588" t="s">
        <v>1052</v>
      </c>
      <c r="AE22" s="1563" t="s">
        <v>725</v>
      </c>
      <c r="AF22" s="829" t="s">
        <v>1246</v>
      </c>
      <c r="AG22" s="830" t="s">
        <v>1251</v>
      </c>
      <c r="AH22" s="830" t="s">
        <v>1252</v>
      </c>
      <c r="AI22" s="749"/>
      <c r="AK22" s="848" t="str">
        <f>+'II. Datos  Ganaderos'!Q90</f>
        <v>Vaquillonas invernada</v>
      </c>
      <c r="AL22" s="255"/>
      <c r="AM22" s="738"/>
      <c r="AN22" s="738"/>
      <c r="AO22" s="255"/>
      <c r="AP22" s="849"/>
      <c r="AR22" s="854" t="s">
        <v>366</v>
      </c>
      <c r="AS22" s="739"/>
      <c r="AT22" s="743"/>
      <c r="AU22" s="743"/>
      <c r="AV22" s="79" t="s">
        <v>442</v>
      </c>
      <c r="AW22" s="251"/>
      <c r="AX22" s="251"/>
      <c r="AY22" s="755"/>
      <c r="BB22" s="884"/>
      <c r="BC22" s="746"/>
      <c r="BD22" s="746"/>
      <c r="BE22" s="746"/>
      <c r="BF22" s="746"/>
      <c r="BG22" s="746"/>
      <c r="BH22" s="885"/>
      <c r="BI22" s="29"/>
      <c r="BJ22" s="29"/>
      <c r="BK22" s="29"/>
      <c r="BO22" s="793"/>
      <c r="BP22" s="799"/>
      <c r="BQ22" s="792"/>
      <c r="BR22" s="799"/>
      <c r="BS22" s="792"/>
      <c r="BT22" s="740"/>
      <c r="BU22" s="792"/>
      <c r="BW22" s="793"/>
      <c r="BX22" s="799"/>
      <c r="BY22" s="792"/>
      <c r="BZ22" s="799"/>
      <c r="CA22" s="792"/>
      <c r="CB22" s="740"/>
      <c r="CC22" s="792"/>
      <c r="DG22" s="1029"/>
      <c r="DH22" s="1029"/>
      <c r="DI22" s="1029"/>
      <c r="DJ22" s="1029"/>
      <c r="DK22" s="1029"/>
    </row>
    <row r="23" spans="1:81" ht="15" customHeight="1" thickBot="1">
      <c r="A23" s="735" t="s">
        <v>95</v>
      </c>
      <c r="C23" s="81"/>
      <c r="F23" s="854" t="str">
        <f>+'Información General'!W33</f>
        <v>Picadora de forrajes</v>
      </c>
      <c r="G23" s="255"/>
      <c r="H23" s="255"/>
      <c r="I23" s="792"/>
      <c r="L23" s="81"/>
      <c r="M23" s="81"/>
      <c r="R23" s="888"/>
      <c r="S23" s="80"/>
      <c r="T23" s="856"/>
      <c r="V23" s="754"/>
      <c r="W23" s="249"/>
      <c r="X23" s="249"/>
      <c r="Y23" s="755"/>
      <c r="AD23" s="799"/>
      <c r="AE23" s="255"/>
      <c r="AF23" s="208" t="s">
        <v>1253</v>
      </c>
      <c r="AG23" s="883" t="s">
        <v>1253</v>
      </c>
      <c r="AH23" s="883" t="s">
        <v>526</v>
      </c>
      <c r="AI23" s="749"/>
      <c r="AK23" s="848"/>
      <c r="AL23" s="255"/>
      <c r="AM23" s="738"/>
      <c r="AN23" s="738"/>
      <c r="AO23" s="255"/>
      <c r="AP23" s="849"/>
      <c r="AR23" s="854" t="s">
        <v>1076</v>
      </c>
      <c r="AS23" s="739"/>
      <c r="AT23" s="743"/>
      <c r="AU23" s="743"/>
      <c r="AV23" s="79" t="s">
        <v>422</v>
      </c>
      <c r="AW23" s="251"/>
      <c r="AX23" s="251"/>
      <c r="AY23" s="755"/>
      <c r="BB23" s="884"/>
      <c r="BC23" s="746"/>
      <c r="BD23" s="746"/>
      <c r="BE23" s="746"/>
      <c r="BF23" s="746"/>
      <c r="BG23" s="746"/>
      <c r="BH23" s="885"/>
      <c r="BI23" s="29"/>
      <c r="BJ23" s="29"/>
      <c r="BK23" s="29"/>
      <c r="BO23" s="793"/>
      <c r="BP23" s="799"/>
      <c r="BQ23" s="792"/>
      <c r="BR23" s="799"/>
      <c r="BS23" s="792"/>
      <c r="BT23" s="740"/>
      <c r="BU23" s="792"/>
      <c r="BW23" s="793"/>
      <c r="BX23" s="799"/>
      <c r="BY23" s="792"/>
      <c r="BZ23" s="799"/>
      <c r="CA23" s="792"/>
      <c r="CB23" s="740"/>
      <c r="CC23" s="792"/>
    </row>
    <row r="24" spans="1:81" ht="15" customHeight="1" thickBot="1">
      <c r="A24" s="255" t="s">
        <v>98</v>
      </c>
      <c r="B24" s="745"/>
      <c r="C24" s="249" t="s">
        <v>74</v>
      </c>
      <c r="D24" s="82"/>
      <c r="F24" s="854" t="str">
        <f>+'Información General'!W34</f>
        <v>Carro forrajero</v>
      </c>
      <c r="G24" s="255"/>
      <c r="H24" s="255"/>
      <c r="I24" s="792"/>
      <c r="K24" s="735" t="str">
        <f>+'Información General'!A32</f>
        <v>Asignación de la mano de obra</v>
      </c>
      <c r="L24" s="735"/>
      <c r="M24" s="735"/>
      <c r="N24" s="735"/>
      <c r="O24" s="735"/>
      <c r="P24" s="735"/>
      <c r="R24" s="799"/>
      <c r="S24" s="80"/>
      <c r="T24" s="856"/>
      <c r="V24" s="756"/>
      <c r="W24" s="757"/>
      <c r="X24" s="757"/>
      <c r="Y24" s="758"/>
      <c r="Z24" s="767" t="s">
        <v>1103</v>
      </c>
      <c r="AD24" s="831" t="s">
        <v>1059</v>
      </c>
      <c r="AE24" s="255"/>
      <c r="AF24" s="255"/>
      <c r="AG24" s="792"/>
      <c r="AH24" s="792"/>
      <c r="AI24" s="749"/>
      <c r="AK24" s="848" t="str">
        <f>+'II. Datos  Ganaderos'!Q91</f>
        <v>Vacas invernada</v>
      </c>
      <c r="AL24" s="255"/>
      <c r="AM24" s="738"/>
      <c r="AN24" s="738"/>
      <c r="AO24" s="255"/>
      <c r="AP24" s="849"/>
      <c r="AR24" s="854" t="s">
        <v>1080</v>
      </c>
      <c r="AS24" s="739"/>
      <c r="AT24" s="743"/>
      <c r="AU24" s="743"/>
      <c r="AV24" s="79"/>
      <c r="AW24" s="251"/>
      <c r="AX24" s="251"/>
      <c r="AY24" s="755"/>
      <c r="BB24" s="884"/>
      <c r="BC24" s="746"/>
      <c r="BD24" s="746"/>
      <c r="BE24" s="746"/>
      <c r="BF24" s="746"/>
      <c r="BG24" s="746"/>
      <c r="BH24" s="885"/>
      <c r="BI24" s="29"/>
      <c r="BJ24" s="29"/>
      <c r="BK24" s="29"/>
      <c r="BO24" s="793"/>
      <c r="BP24" s="799"/>
      <c r="BQ24" s="792"/>
      <c r="BR24" s="799"/>
      <c r="BS24" s="792"/>
      <c r="BT24" s="740"/>
      <c r="BU24" s="792"/>
      <c r="BW24" s="793"/>
      <c r="BX24" s="799"/>
      <c r="BY24" s="792"/>
      <c r="BZ24" s="799"/>
      <c r="CA24" s="792"/>
      <c r="CB24" s="740"/>
      <c r="CC24" s="792"/>
    </row>
    <row r="25" spans="1:81" ht="15" customHeight="1">
      <c r="A25" s="255" t="s">
        <v>101</v>
      </c>
      <c r="B25" s="255"/>
      <c r="C25" s="208" t="s">
        <v>74</v>
      </c>
      <c r="F25" s="854" t="str">
        <f>+'Información General'!W35</f>
        <v>Desmalezadora </v>
      </c>
      <c r="G25" s="255"/>
      <c r="H25" s="255"/>
      <c r="I25" s="792"/>
      <c r="K25" s="1559" t="str">
        <f>+'Información General'!A33</f>
        <v>ACTIVIDAD A LA QUE SE DEDICA</v>
      </c>
      <c r="L25" s="1560" t="str">
        <f>+'Información General'!B33</f>
        <v>TIPO DE MANO DE OBRA</v>
      </c>
      <c r="M25" s="1561" t="str">
        <f>+'Información General'!C33</f>
        <v>IDENTIFICACION</v>
      </c>
      <c r="N25" s="1562" t="str">
        <f>+'Información General'!D33</f>
        <v>EDAD</v>
      </c>
      <c r="O25" s="1563" t="str">
        <f>+'Información General'!E33</f>
        <v>DEDICACION</v>
      </c>
      <c r="P25" s="1564" t="s">
        <v>1263</v>
      </c>
      <c r="R25" s="886"/>
      <c r="S25" s="80"/>
      <c r="T25" s="856"/>
      <c r="V25" s="759" t="s">
        <v>384</v>
      </c>
      <c r="W25" s="752" t="s">
        <v>385</v>
      </c>
      <c r="X25" s="760" t="s">
        <v>386</v>
      </c>
      <c r="Y25" s="761"/>
      <c r="Z25" s="766"/>
      <c r="AD25" s="854" t="s">
        <v>1060</v>
      </c>
      <c r="AE25" s="255"/>
      <c r="AF25" s="255"/>
      <c r="AG25" s="792"/>
      <c r="AH25" s="792"/>
      <c r="AI25" s="749"/>
      <c r="AK25" s="848"/>
      <c r="AL25" s="255"/>
      <c r="AM25" s="738"/>
      <c r="AN25" s="738"/>
      <c r="AO25" s="255"/>
      <c r="AP25" s="849"/>
      <c r="AR25" s="854" t="s">
        <v>383</v>
      </c>
      <c r="AS25" s="739"/>
      <c r="AT25" s="743"/>
      <c r="AU25" s="743"/>
      <c r="AV25" s="28" t="s">
        <v>454</v>
      </c>
      <c r="AW25" s="251"/>
      <c r="AX25" s="251"/>
      <c r="AY25" s="755"/>
      <c r="BB25" s="884" t="s">
        <v>625</v>
      </c>
      <c r="BC25" s="746"/>
      <c r="BD25" s="746"/>
      <c r="BE25" s="746"/>
      <c r="BF25" s="746" t="s">
        <v>625</v>
      </c>
      <c r="BG25" s="746"/>
      <c r="BH25" s="885"/>
      <c r="BI25" s="29"/>
      <c r="BJ25" s="29"/>
      <c r="BK25" s="29"/>
      <c r="BO25" s="793" t="s">
        <v>664</v>
      </c>
      <c r="BP25" s="799"/>
      <c r="BQ25" s="792"/>
      <c r="BR25" s="799"/>
      <c r="BS25" s="792"/>
      <c r="BT25" s="740"/>
      <c r="BU25" s="792"/>
      <c r="BW25" s="793" t="s">
        <v>664</v>
      </c>
      <c r="BX25" s="799"/>
      <c r="BY25" s="792"/>
      <c r="BZ25" s="799"/>
      <c r="CA25" s="792"/>
      <c r="CB25" s="740"/>
      <c r="CC25" s="792"/>
    </row>
    <row r="26" spans="1:81" ht="15" customHeight="1" thickBot="1">
      <c r="A26" s="255" t="s">
        <v>1216</v>
      </c>
      <c r="B26" s="255"/>
      <c r="C26" s="208" t="s">
        <v>74</v>
      </c>
      <c r="F26" s="854" t="str">
        <f>+'Información General'!W33</f>
        <v>Picadora de forrajes</v>
      </c>
      <c r="G26" s="255"/>
      <c r="H26" s="255"/>
      <c r="I26" s="792"/>
      <c r="K26" s="1565"/>
      <c r="L26" s="1558"/>
      <c r="M26" s="741"/>
      <c r="N26" s="1556" t="str">
        <f>+'Información General'!D34</f>
        <v>(AÑOS)</v>
      </c>
      <c r="O26" s="1557" t="str">
        <f>+'Información General'!E34</f>
        <v>Hs./SEMANA</v>
      </c>
      <c r="P26" s="1566" t="s">
        <v>1265</v>
      </c>
      <c r="R26" s="832"/>
      <c r="S26" s="757"/>
      <c r="T26" s="860"/>
      <c r="V26" s="762"/>
      <c r="W26" s="249" t="s">
        <v>391</v>
      </c>
      <c r="X26" s="249" t="s">
        <v>392</v>
      </c>
      <c r="Y26" s="755"/>
      <c r="Z26" s="765"/>
      <c r="AD26" s="886" t="s">
        <v>1063</v>
      </c>
      <c r="AE26" s="255"/>
      <c r="AF26" s="255"/>
      <c r="AG26" s="792"/>
      <c r="AH26" s="792"/>
      <c r="AI26" s="749"/>
      <c r="AK26" s="903" t="s">
        <v>1257</v>
      </c>
      <c r="AL26" s="747"/>
      <c r="AM26" s="1360"/>
      <c r="AN26" s="1360"/>
      <c r="AO26" s="747"/>
      <c r="AP26" s="1361"/>
      <c r="AR26" s="854" t="s">
        <v>395</v>
      </c>
      <c r="AS26" s="739"/>
      <c r="AT26" s="743"/>
      <c r="AU26" s="743"/>
      <c r="AV26" s="79" t="str">
        <f>AV11</f>
        <v>Novillitos/os</v>
      </c>
      <c r="AW26" s="251"/>
      <c r="AX26" s="251"/>
      <c r="AY26" s="755"/>
      <c r="BB26" s="886"/>
      <c r="BC26" s="255"/>
      <c r="BD26" s="255"/>
      <c r="BE26" s="29"/>
      <c r="BF26" s="243"/>
      <c r="BG26" s="255"/>
      <c r="BH26" s="792"/>
      <c r="BI26" s="29"/>
      <c r="BJ26" s="29"/>
      <c r="BK26" s="29"/>
      <c r="BO26" s="793"/>
      <c r="BP26" s="799"/>
      <c r="BQ26" s="792"/>
      <c r="BR26" s="799"/>
      <c r="BS26" s="792"/>
      <c r="BT26" s="740"/>
      <c r="BU26" s="792"/>
      <c r="BW26" s="793"/>
      <c r="BX26" s="799"/>
      <c r="BY26" s="792"/>
      <c r="BZ26" s="799"/>
      <c r="CA26" s="792"/>
      <c r="CB26" s="740"/>
      <c r="CC26" s="792"/>
    </row>
    <row r="27" spans="1:81" ht="15" customHeight="1" thickBot="1">
      <c r="A27" s="255" t="s">
        <v>106</v>
      </c>
      <c r="B27" s="255"/>
      <c r="C27" s="208" t="s">
        <v>74</v>
      </c>
      <c r="F27" s="854" t="str">
        <f>+'Información General'!W34</f>
        <v>Carro forrajero</v>
      </c>
      <c r="G27" s="255"/>
      <c r="H27" s="255"/>
      <c r="I27" s="792"/>
      <c r="K27" s="788" t="str">
        <f>+'Información General'!A35</f>
        <v>AL GERENCIAMIENTO</v>
      </c>
      <c r="L27" s="747" t="str">
        <f>+'Información General'!B35</f>
        <v>EMPRESARIOS</v>
      </c>
      <c r="M27" s="747" t="str">
        <f>+'Información General'!C35</f>
        <v>PRODUCTOR</v>
      </c>
      <c r="N27" s="255"/>
      <c r="O27" s="255"/>
      <c r="P27" s="822"/>
      <c r="R27" s="85" t="s">
        <v>1239</v>
      </c>
      <c r="S27" s="85"/>
      <c r="T27" s="85"/>
      <c r="V27" s="763"/>
      <c r="W27" s="764" t="s">
        <v>399</v>
      </c>
      <c r="X27" s="764"/>
      <c r="Y27" s="758"/>
      <c r="Z27" s="29"/>
      <c r="AD27" s="854" t="s">
        <v>1068</v>
      </c>
      <c r="AE27" s="255"/>
      <c r="AF27" s="255"/>
      <c r="AG27" s="792"/>
      <c r="AH27" s="792"/>
      <c r="AI27" s="749"/>
      <c r="AK27" s="1598"/>
      <c r="AL27" s="802"/>
      <c r="AM27" s="1599"/>
      <c r="AN27" s="1599"/>
      <c r="AO27" s="802"/>
      <c r="AP27" s="844"/>
      <c r="AR27" s="854" t="s">
        <v>389</v>
      </c>
      <c r="AS27" s="739"/>
      <c r="AT27" s="743"/>
      <c r="AU27" s="743"/>
      <c r="AV27" s="79" t="str">
        <f>AV12</f>
        <v>Vaquillonas</v>
      </c>
      <c r="AW27" s="251"/>
      <c r="AX27" s="251"/>
      <c r="AY27" s="755"/>
      <c r="BB27" s="886"/>
      <c r="BC27" s="255"/>
      <c r="BD27" s="255"/>
      <c r="BE27" s="29"/>
      <c r="BF27" s="243"/>
      <c r="BG27" s="255"/>
      <c r="BH27" s="792"/>
      <c r="BI27" s="29"/>
      <c r="BJ27" s="29"/>
      <c r="BK27" s="29"/>
      <c r="BO27" s="793" t="s">
        <v>50</v>
      </c>
      <c r="BP27" s="799"/>
      <c r="BQ27" s="792"/>
      <c r="BR27" s="799"/>
      <c r="BS27" s="792"/>
      <c r="BT27" s="740"/>
      <c r="BU27" s="792"/>
      <c r="BW27" s="793" t="s">
        <v>50</v>
      </c>
      <c r="BX27" s="799"/>
      <c r="BY27" s="792"/>
      <c r="BZ27" s="799"/>
      <c r="CA27" s="792"/>
      <c r="CB27" s="740"/>
      <c r="CC27" s="792"/>
    </row>
    <row r="28" spans="1:81" ht="15" customHeight="1">
      <c r="A28" s="255" t="s">
        <v>108</v>
      </c>
      <c r="B28" s="255"/>
      <c r="C28" s="208" t="s">
        <v>74</v>
      </c>
      <c r="F28" s="854" t="str">
        <f>+'Información General'!W35</f>
        <v>Desmalezadora </v>
      </c>
      <c r="G28" s="255"/>
      <c r="H28" s="255"/>
      <c r="I28" s="792"/>
      <c r="K28" s="799"/>
      <c r="L28" s="255"/>
      <c r="M28" s="255" t="str">
        <f>+'Información General'!C36</f>
        <v>...........</v>
      </c>
      <c r="N28" s="255"/>
      <c r="O28" s="255"/>
      <c r="P28" s="792"/>
      <c r="R28" s="29" t="s">
        <v>1240</v>
      </c>
      <c r="S28" s="29"/>
      <c r="T28" s="29"/>
      <c r="V28" s="1567" t="s">
        <v>401</v>
      </c>
      <c r="W28" s="752" t="s">
        <v>402</v>
      </c>
      <c r="X28" s="752" t="s">
        <v>317</v>
      </c>
      <c r="Y28" s="761"/>
      <c r="Z28" s="29"/>
      <c r="AD28" s="854" t="s">
        <v>1072</v>
      </c>
      <c r="AE28" s="255"/>
      <c r="AF28" s="255"/>
      <c r="AG28" s="792"/>
      <c r="AH28" s="792"/>
      <c r="AI28" s="749"/>
      <c r="AR28" s="854" t="s">
        <v>379</v>
      </c>
      <c r="AS28" s="739"/>
      <c r="AT28" s="743"/>
      <c r="AU28" s="743"/>
      <c r="AV28" s="79" t="s">
        <v>422</v>
      </c>
      <c r="AW28" s="251"/>
      <c r="AX28" s="251"/>
      <c r="AY28" s="755"/>
      <c r="BB28" s="886"/>
      <c r="BC28" s="255"/>
      <c r="BD28" s="255"/>
      <c r="BE28" s="29"/>
      <c r="BF28" s="243"/>
      <c r="BG28" s="255"/>
      <c r="BH28" s="792"/>
      <c r="BI28" s="29"/>
      <c r="BJ28" s="29"/>
      <c r="BK28" s="29"/>
      <c r="BO28" s="793" t="s">
        <v>1118</v>
      </c>
      <c r="BP28" s="799"/>
      <c r="BQ28" s="792"/>
      <c r="BR28" s="799"/>
      <c r="BS28" s="843"/>
      <c r="BT28" s="841"/>
      <c r="BU28" s="792"/>
      <c r="BW28" s="793" t="s">
        <v>1118</v>
      </c>
      <c r="BX28" s="799"/>
      <c r="BY28" s="792"/>
      <c r="BZ28" s="799"/>
      <c r="CA28" s="843"/>
      <c r="CB28" s="841"/>
      <c r="CC28" s="792"/>
    </row>
    <row r="29" spans="6:81" ht="15" customHeight="1" thickBot="1">
      <c r="F29" s="854" t="str">
        <f>+'Información General'!W36</f>
        <v>Mixer c/ Balanza</v>
      </c>
      <c r="G29" s="255"/>
      <c r="H29" s="255"/>
      <c r="I29" s="792"/>
      <c r="K29" s="799" t="str">
        <f>+'Información General'!A37</f>
        <v>TAREAS GENERALES</v>
      </c>
      <c r="L29" s="255" t="str">
        <f>+'Información General'!B37</f>
        <v>FAMILIAR</v>
      </c>
      <c r="M29" s="255" t="str">
        <f>+'Información General'!C37</f>
        <v>ESPOSA</v>
      </c>
      <c r="N29" s="255"/>
      <c r="O29" s="255"/>
      <c r="P29" s="792"/>
      <c r="R29" s="21" t="s">
        <v>1241</v>
      </c>
      <c r="V29" s="763"/>
      <c r="W29" s="764" t="s">
        <v>407</v>
      </c>
      <c r="X29" s="764" t="s">
        <v>408</v>
      </c>
      <c r="Y29" s="758"/>
      <c r="Z29" s="29"/>
      <c r="AD29" s="854" t="s">
        <v>1074</v>
      </c>
      <c r="AE29" s="255"/>
      <c r="AF29" s="255"/>
      <c r="AG29" s="792"/>
      <c r="AH29" s="792"/>
      <c r="AI29" s="749"/>
      <c r="AR29" s="834"/>
      <c r="AS29" s="1487"/>
      <c r="AT29" s="1488"/>
      <c r="AU29" s="1488"/>
      <c r="AV29" s="88"/>
      <c r="AW29" s="1489"/>
      <c r="AX29" s="1489"/>
      <c r="AY29" s="1484"/>
      <c r="BB29" s="886"/>
      <c r="BC29" s="255"/>
      <c r="BD29" s="255"/>
      <c r="BE29" s="29"/>
      <c r="BF29" s="243"/>
      <c r="BG29" s="255"/>
      <c r="BH29" s="792"/>
      <c r="BI29" s="29"/>
      <c r="BJ29" s="29"/>
      <c r="BK29" s="29"/>
      <c r="BO29" s="833" t="s">
        <v>1120</v>
      </c>
      <c r="BP29" s="836"/>
      <c r="BQ29" s="804"/>
      <c r="BR29" s="836"/>
      <c r="BS29" s="844"/>
      <c r="BT29" s="842"/>
      <c r="BU29" s="804"/>
      <c r="BW29" s="833" t="s">
        <v>1120</v>
      </c>
      <c r="BX29" s="836"/>
      <c r="BY29" s="804"/>
      <c r="BZ29" s="836"/>
      <c r="CA29" s="844"/>
      <c r="CB29" s="842"/>
      <c r="CC29" s="804"/>
    </row>
    <row r="30" spans="1:81" ht="15" customHeight="1" thickBot="1">
      <c r="A30" s="899" t="s">
        <v>25</v>
      </c>
      <c r="B30" s="1549"/>
      <c r="C30" s="830"/>
      <c r="F30" s="854" t="str">
        <f>+'Información General'!W37</f>
        <v>Enrrolladora </v>
      </c>
      <c r="G30" s="255"/>
      <c r="H30" s="255"/>
      <c r="I30" s="792"/>
      <c r="K30" s="799"/>
      <c r="L30" s="255"/>
      <c r="M30" s="255" t="str">
        <f>+'Información General'!C38</f>
        <v>....................</v>
      </c>
      <c r="N30" s="255"/>
      <c r="O30" s="255"/>
      <c r="P30" s="792"/>
      <c r="V30" s="1485"/>
      <c r="W30" s="115"/>
      <c r="X30" s="115"/>
      <c r="Y30" s="1486"/>
      <c r="Z30" s="29"/>
      <c r="AD30" s="854"/>
      <c r="AE30" s="255"/>
      <c r="AF30" s="255"/>
      <c r="AG30" s="792"/>
      <c r="AH30" s="792"/>
      <c r="AI30" s="749"/>
      <c r="AK30" s="850" t="s">
        <v>1093</v>
      </c>
      <c r="AL30" s="846" t="s">
        <v>1094</v>
      </c>
      <c r="AM30" s="846" t="s">
        <v>1095</v>
      </c>
      <c r="AN30" s="846" t="s">
        <v>1096</v>
      </c>
      <c r="AO30" s="846" t="s">
        <v>1054</v>
      </c>
      <c r="AP30" s="847" t="s">
        <v>1058</v>
      </c>
      <c r="AR30" s="834"/>
      <c r="AS30" s="1487"/>
      <c r="AT30" s="1488"/>
      <c r="AU30" s="1488"/>
      <c r="AV30" s="88"/>
      <c r="AW30" s="1489"/>
      <c r="AX30" s="1489"/>
      <c r="AY30" s="1484"/>
      <c r="BB30" s="886"/>
      <c r="BC30" s="255"/>
      <c r="BD30" s="255"/>
      <c r="BE30" s="29"/>
      <c r="BF30" s="243"/>
      <c r="BG30" s="255"/>
      <c r="BH30" s="792"/>
      <c r="BI30" s="29"/>
      <c r="BJ30" s="29"/>
      <c r="BK30" s="29"/>
      <c r="BO30" s="837"/>
      <c r="BP30" s="840" t="s">
        <v>1086</v>
      </c>
      <c r="BQ30" s="835" t="s">
        <v>1087</v>
      </c>
      <c r="BR30" s="840" t="s">
        <v>1086</v>
      </c>
      <c r="BS30" s="835" t="s">
        <v>1087</v>
      </c>
      <c r="BT30" s="839" t="s">
        <v>1086</v>
      </c>
      <c r="BU30" s="835" t="s">
        <v>1087</v>
      </c>
      <c r="BW30" s="837"/>
      <c r="BX30" s="840" t="s">
        <v>1086</v>
      </c>
      <c r="BY30" s="835" t="s">
        <v>1087</v>
      </c>
      <c r="BZ30" s="840" t="s">
        <v>1086</v>
      </c>
      <c r="CA30" s="835" t="s">
        <v>1087</v>
      </c>
      <c r="CB30" s="839" t="s">
        <v>1086</v>
      </c>
      <c r="CC30" s="835" t="s">
        <v>1087</v>
      </c>
    </row>
    <row r="31" spans="1:81" ht="15" customHeight="1" thickBot="1">
      <c r="A31" s="788" t="s">
        <v>1191</v>
      </c>
      <c r="B31" s="747"/>
      <c r="C31" s="1550" t="s">
        <v>74</v>
      </c>
      <c r="F31" s="854" t="str">
        <f>+'Información General'!W38</f>
        <v>Transportador de rollos</v>
      </c>
      <c r="G31" s="255"/>
      <c r="H31" s="255"/>
      <c r="I31" s="792"/>
      <c r="K31" s="799"/>
      <c r="L31" s="255" t="str">
        <f>+'Información General'!B39</f>
        <v>PERSONAL CONTRATADO</v>
      </c>
      <c r="M31" s="255" t="str">
        <f>+'Información General'!C39</f>
        <v>.................</v>
      </c>
      <c r="N31" s="255"/>
      <c r="O31" s="255"/>
      <c r="P31" s="792"/>
      <c r="R31" s="734" t="s">
        <v>1110</v>
      </c>
      <c r="S31" s="29"/>
      <c r="V31" s="1485"/>
      <c r="W31" s="115"/>
      <c r="X31" s="115"/>
      <c r="Y31" s="1486"/>
      <c r="Z31" s="29"/>
      <c r="AD31" s="854" t="s">
        <v>1079</v>
      </c>
      <c r="AE31" s="255"/>
      <c r="AF31" s="255"/>
      <c r="AG31" s="792"/>
      <c r="AH31" s="792"/>
      <c r="AI31" s="749"/>
      <c r="AK31" s="1618" t="str">
        <f>AK3</f>
        <v>Tambo</v>
      </c>
      <c r="AL31" s="1553"/>
      <c r="AM31" s="1553"/>
      <c r="AN31" s="1553"/>
      <c r="AO31" s="1621"/>
      <c r="AP31" s="1554"/>
      <c r="AR31" s="834"/>
      <c r="AS31" s="1487"/>
      <c r="AT31" s="1488"/>
      <c r="AU31" s="1488"/>
      <c r="AV31" s="88"/>
      <c r="AW31" s="1489"/>
      <c r="AX31" s="1489"/>
      <c r="AY31" s="1484"/>
      <c r="BB31" s="886"/>
      <c r="BC31" s="255"/>
      <c r="BD31" s="255"/>
      <c r="BE31" s="29"/>
      <c r="BF31" s="243"/>
      <c r="BG31" s="255"/>
      <c r="BH31" s="792"/>
      <c r="BI31" s="29"/>
      <c r="BJ31" s="29"/>
      <c r="BK31" s="29"/>
      <c r="BO31" s="768" t="s">
        <v>1092</v>
      </c>
      <c r="BP31" s="1341" t="s">
        <v>50</v>
      </c>
      <c r="BQ31" s="1342"/>
      <c r="BR31" s="1343"/>
      <c r="BS31" s="1344"/>
      <c r="BT31" s="1345"/>
      <c r="BU31" s="1344"/>
      <c r="BW31" s="768" t="s">
        <v>1092</v>
      </c>
      <c r="BX31" s="1341" t="s">
        <v>50</v>
      </c>
      <c r="BY31" s="1342"/>
      <c r="BZ31" s="1343"/>
      <c r="CA31" s="1344"/>
      <c r="CB31" s="1345"/>
      <c r="CC31" s="1344"/>
    </row>
    <row r="32" spans="1:81" ht="15" customHeight="1" thickBot="1">
      <c r="A32" s="756" t="s">
        <v>1192</v>
      </c>
      <c r="B32" s="1551"/>
      <c r="C32" s="1552" t="s">
        <v>74</v>
      </c>
      <c r="F32" s="854" t="str">
        <f>+'Información General'!W39</f>
        <v>Extractor de silos</v>
      </c>
      <c r="G32" s="255"/>
      <c r="H32" s="255"/>
      <c r="I32" s="792"/>
      <c r="K32" s="799"/>
      <c r="L32" s="255"/>
      <c r="M32" s="255" t="str">
        <f>+'Información General'!C40</f>
        <v>PEON GENERAL</v>
      </c>
      <c r="N32" s="255"/>
      <c r="O32" s="255"/>
      <c r="P32" s="792"/>
      <c r="Q32" s="29"/>
      <c r="R32" s="906"/>
      <c r="S32" s="907"/>
      <c r="T32" s="830" t="s">
        <v>1112</v>
      </c>
      <c r="V32" s="1485"/>
      <c r="W32" s="115"/>
      <c r="X32" s="115"/>
      <c r="Y32" s="1486"/>
      <c r="Z32" s="29"/>
      <c r="AD32" s="836"/>
      <c r="AE32" s="802"/>
      <c r="AF32" s="802"/>
      <c r="AG32" s="804"/>
      <c r="AH32" s="804"/>
      <c r="AI32" s="749"/>
      <c r="AK32" s="848" t="str">
        <f>+'II. Datos  Ganaderos'!Q44</f>
        <v>     Vaca ordeño</v>
      </c>
      <c r="AL32" s="255"/>
      <c r="AM32" s="255"/>
      <c r="AN32" s="255"/>
      <c r="AO32" s="254"/>
      <c r="AP32" s="792"/>
      <c r="AR32" s="832" t="s">
        <v>404</v>
      </c>
      <c r="AS32" s="857"/>
      <c r="AT32" s="874"/>
      <c r="AU32" s="874"/>
      <c r="AV32" s="858"/>
      <c r="AW32" s="875"/>
      <c r="AX32" s="875"/>
      <c r="AY32" s="876"/>
      <c r="BB32" s="884"/>
      <c r="BC32" s="255"/>
      <c r="BD32" s="255"/>
      <c r="BE32" s="29"/>
      <c r="BF32" s="746"/>
      <c r="BG32" s="255"/>
      <c r="BH32" s="792"/>
      <c r="BI32" s="29"/>
      <c r="BJ32" s="29"/>
      <c r="BK32" s="29"/>
      <c r="BO32" s="1629"/>
      <c r="BP32" s="1630"/>
      <c r="BQ32" s="1631"/>
      <c r="BR32" s="1632"/>
      <c r="BS32" s="1633"/>
      <c r="BT32" s="1634"/>
      <c r="BU32" s="1633"/>
      <c r="BW32" s="1629"/>
      <c r="BX32" s="1630"/>
      <c r="BY32" s="1631"/>
      <c r="BZ32" s="1632"/>
      <c r="CA32" s="1633"/>
      <c r="CB32" s="1634"/>
      <c r="CC32" s="1633"/>
    </row>
    <row r="33" spans="1:81" ht="15" customHeight="1">
      <c r="A33" s="899" t="s">
        <v>1104</v>
      </c>
      <c r="B33" s="829" t="s">
        <v>1049</v>
      </c>
      <c r="C33" s="829" t="s">
        <v>1105</v>
      </c>
      <c r="D33" s="830" t="s">
        <v>1106</v>
      </c>
      <c r="F33" s="854" t="str">
        <f>+'Información General'!W40</f>
        <v>Moledora </v>
      </c>
      <c r="G33" s="255"/>
      <c r="H33" s="255"/>
      <c r="I33" s="792"/>
      <c r="K33" s="799" t="str">
        <f>+'Información General'!A41</f>
        <v>TAMBO</v>
      </c>
      <c r="L33" s="255" t="str">
        <f>+'Información General'!B41</f>
        <v>MEDIERO</v>
      </c>
      <c r="M33" s="255" t="str">
        <f>+'Información General'!C41</f>
        <v>TAMBERO</v>
      </c>
      <c r="N33" s="255"/>
      <c r="O33" s="255"/>
      <c r="P33" s="792"/>
      <c r="Q33" s="29"/>
      <c r="R33" s="793"/>
      <c r="S33" s="742"/>
      <c r="T33" s="792"/>
      <c r="V33" s="768" t="s">
        <v>1111</v>
      </c>
      <c r="W33" s="769"/>
      <c r="X33" s="770"/>
      <c r="Y33" s="771"/>
      <c r="Z33" s="29"/>
      <c r="AD33" s="21" t="s">
        <v>1266</v>
      </c>
      <c r="AH33" s="1639" t="s">
        <v>1267</v>
      </c>
      <c r="AI33" s="749"/>
      <c r="AK33" s="848"/>
      <c r="AL33" s="255"/>
      <c r="AM33" s="255"/>
      <c r="AN33" s="255"/>
      <c r="AO33" s="254"/>
      <c r="AP33" s="792"/>
      <c r="BB33" s="886" t="s">
        <v>628</v>
      </c>
      <c r="BC33" s="255"/>
      <c r="BD33" s="255"/>
      <c r="BE33" s="29"/>
      <c r="BF33" s="243" t="s">
        <v>628</v>
      </c>
      <c r="BG33" s="255"/>
      <c r="BH33" s="792"/>
      <c r="BI33" s="29"/>
      <c r="BJ33" s="29"/>
      <c r="BO33" s="793" t="s">
        <v>614</v>
      </c>
      <c r="BP33" s="799"/>
      <c r="BQ33" s="792"/>
      <c r="BR33" s="799"/>
      <c r="BS33" s="792"/>
      <c r="BT33" s="740"/>
      <c r="BU33" s="792"/>
      <c r="BW33" s="793" t="s">
        <v>614</v>
      </c>
      <c r="BX33" s="799"/>
      <c r="BY33" s="792"/>
      <c r="BZ33" s="799"/>
      <c r="CA33" s="792"/>
      <c r="CB33" s="740"/>
      <c r="CC33" s="792"/>
    </row>
    <row r="34" spans="1:81" ht="15" customHeight="1">
      <c r="A34" s="853" t="s">
        <v>49</v>
      </c>
      <c r="B34" s="79"/>
      <c r="C34" s="256" t="s">
        <v>50</v>
      </c>
      <c r="D34" s="871"/>
      <c r="F34" s="854" t="str">
        <f>+'Información General'!W41</f>
        <v>Rastrillo lateral</v>
      </c>
      <c r="G34" s="255"/>
      <c r="H34" s="255"/>
      <c r="I34" s="792"/>
      <c r="K34" s="799"/>
      <c r="L34" s="255"/>
      <c r="M34" s="255" t="str">
        <f>+'Información General'!C42</f>
        <v>ESPOSA</v>
      </c>
      <c r="N34" s="255"/>
      <c r="O34" s="255"/>
      <c r="P34" s="792"/>
      <c r="Q34" s="29"/>
      <c r="R34" s="793"/>
      <c r="S34" s="742"/>
      <c r="T34" s="792"/>
      <c r="V34" s="772" t="s">
        <v>1113</v>
      </c>
      <c r="W34" s="742"/>
      <c r="X34" s="259"/>
      <c r="Y34" s="773"/>
      <c r="Z34" s="29"/>
      <c r="AI34" s="749"/>
      <c r="AK34" s="848"/>
      <c r="AL34" s="255"/>
      <c r="AM34" s="255"/>
      <c r="AN34" s="255"/>
      <c r="AO34" s="254"/>
      <c r="AP34" s="792"/>
      <c r="AV34" s="79" t="s">
        <v>1114</v>
      </c>
      <c r="AW34" s="733"/>
      <c r="AX34" s="748"/>
      <c r="BB34" s="886" t="s">
        <v>629</v>
      </c>
      <c r="BC34" s="255"/>
      <c r="BD34" s="255"/>
      <c r="BE34" s="29"/>
      <c r="BF34" s="243" t="s">
        <v>629</v>
      </c>
      <c r="BG34" s="255"/>
      <c r="BH34" s="792"/>
      <c r="BI34" s="29"/>
      <c r="BJ34" s="29"/>
      <c r="BO34" s="793"/>
      <c r="BP34" s="799"/>
      <c r="BQ34" s="792"/>
      <c r="BR34" s="799"/>
      <c r="BS34" s="792"/>
      <c r="BT34" s="740"/>
      <c r="BU34" s="792"/>
      <c r="BW34" s="793"/>
      <c r="BX34" s="799"/>
      <c r="BY34" s="792"/>
      <c r="BZ34" s="799"/>
      <c r="CA34" s="792"/>
      <c r="CB34" s="740"/>
      <c r="CC34" s="792"/>
    </row>
    <row r="35" spans="1:81" ht="15" customHeight="1" thickBot="1">
      <c r="A35" s="854" t="s">
        <v>1109</v>
      </c>
      <c r="B35" s="251"/>
      <c r="C35" s="251"/>
      <c r="D35" s="871"/>
      <c r="F35" s="854" t="str">
        <f>+'Información General'!W42</f>
        <v>Pinche para rollos</v>
      </c>
      <c r="G35" s="255"/>
      <c r="H35" s="255"/>
      <c r="I35" s="792"/>
      <c r="K35" s="799"/>
      <c r="L35" s="255"/>
      <c r="M35" s="255" t="str">
        <f>+'Información General'!C43</f>
        <v>HIJOS</v>
      </c>
      <c r="N35" s="255"/>
      <c r="O35" s="255"/>
      <c r="P35" s="792"/>
      <c r="Q35" s="29"/>
      <c r="R35" s="793"/>
      <c r="S35" s="742"/>
      <c r="T35" s="792"/>
      <c r="V35" s="774" t="s">
        <v>427</v>
      </c>
      <c r="W35" s="67"/>
      <c r="X35" s="59"/>
      <c r="Y35" s="773"/>
      <c r="Z35" s="29"/>
      <c r="AD35" s="1589" t="s">
        <v>1255</v>
      </c>
      <c r="AI35" s="749"/>
      <c r="AK35" s="848"/>
      <c r="AL35" s="255"/>
      <c r="AM35" s="255"/>
      <c r="AN35" s="255"/>
      <c r="AO35" s="254"/>
      <c r="AP35" s="792"/>
      <c r="AV35" s="79" t="s">
        <v>1115</v>
      </c>
      <c r="AW35" s="740"/>
      <c r="AX35" s="255"/>
      <c r="BB35" s="886" t="s">
        <v>630</v>
      </c>
      <c r="BC35" s="255"/>
      <c r="BD35" s="255"/>
      <c r="BE35" s="29"/>
      <c r="BF35" s="243" t="s">
        <v>630</v>
      </c>
      <c r="BG35" s="255"/>
      <c r="BH35" s="792"/>
      <c r="BI35" s="29"/>
      <c r="BO35" s="793" t="s">
        <v>50</v>
      </c>
      <c r="BP35" s="799"/>
      <c r="BQ35" s="792"/>
      <c r="BR35" s="799"/>
      <c r="BS35" s="792"/>
      <c r="BT35" s="740"/>
      <c r="BU35" s="792"/>
      <c r="BW35" s="793" t="s">
        <v>50</v>
      </c>
      <c r="BX35" s="799"/>
      <c r="BY35" s="792"/>
      <c r="BZ35" s="799"/>
      <c r="CA35" s="792"/>
      <c r="CB35" s="740"/>
      <c r="CC35" s="792"/>
    </row>
    <row r="36" spans="1:81" ht="15" customHeight="1" thickBot="1">
      <c r="A36" s="854" t="s">
        <v>58</v>
      </c>
      <c r="B36" s="251"/>
      <c r="C36" s="251"/>
      <c r="D36" s="871"/>
      <c r="F36" s="854" t="str">
        <f>+'Información General'!W43</f>
        <v>RODADOS</v>
      </c>
      <c r="G36" s="255"/>
      <c r="H36" s="255"/>
      <c r="I36" s="792"/>
      <c r="K36" s="799"/>
      <c r="L36" s="255"/>
      <c r="M36" s="255" t="str">
        <f>+'Información General'!C44</f>
        <v>HIJOS</v>
      </c>
      <c r="N36" s="255"/>
      <c r="O36" s="255"/>
      <c r="P36" s="792"/>
      <c r="Q36" s="29"/>
      <c r="R36" s="793"/>
      <c r="S36" s="742"/>
      <c r="T36" s="792"/>
      <c r="V36" s="775" t="s">
        <v>430</v>
      </c>
      <c r="W36" s="776"/>
      <c r="X36" s="777"/>
      <c r="Y36" s="778"/>
      <c r="Z36" s="29"/>
      <c r="AD36" s="1595" t="s">
        <v>330</v>
      </c>
      <c r="AE36" s="1596"/>
      <c r="AF36" s="1596"/>
      <c r="AG36" s="1597"/>
      <c r="AI36" s="749"/>
      <c r="AK36" s="848" t="str">
        <f>+'II. Datos  Ganaderos'!Q45</f>
        <v>     Vaca seca</v>
      </c>
      <c r="AL36" s="255"/>
      <c r="AM36" s="255"/>
      <c r="AN36" s="111"/>
      <c r="AO36" s="254"/>
      <c r="AP36" s="792"/>
      <c r="AR36" s="29"/>
      <c r="AV36" s="79" t="s">
        <v>1116</v>
      </c>
      <c r="AW36" s="740"/>
      <c r="AX36" s="255"/>
      <c r="BB36" s="886"/>
      <c r="BC36" s="255"/>
      <c r="BD36" s="255"/>
      <c r="BE36" s="29"/>
      <c r="BF36" s="243"/>
      <c r="BG36" s="255"/>
      <c r="BH36" s="792"/>
      <c r="BO36" s="793"/>
      <c r="BP36" s="799"/>
      <c r="BQ36" s="792"/>
      <c r="BR36" s="799"/>
      <c r="BS36" s="792"/>
      <c r="BT36" s="740"/>
      <c r="BU36" s="792"/>
      <c r="BW36" s="793"/>
      <c r="BX36" s="799"/>
      <c r="BY36" s="792"/>
      <c r="BZ36" s="799"/>
      <c r="CA36" s="792"/>
      <c r="CB36" s="740"/>
      <c r="CC36" s="792"/>
    </row>
    <row r="37" spans="1:81" ht="15" customHeight="1" thickBot="1">
      <c r="A37" s="854" t="s">
        <v>61</v>
      </c>
      <c r="B37" s="251"/>
      <c r="C37" s="251"/>
      <c r="D37" s="871"/>
      <c r="F37" s="854" t="str">
        <f>+'Información General'!W44</f>
        <v>Pick up</v>
      </c>
      <c r="G37" s="255"/>
      <c r="H37" s="255"/>
      <c r="I37" s="792"/>
      <c r="K37" s="799"/>
      <c r="L37" s="255" t="str">
        <f>+'Información General'!B45</f>
        <v>FAMILIAR</v>
      </c>
      <c r="M37" s="255" t="str">
        <f>+'Información General'!C45</f>
        <v>HIJO</v>
      </c>
      <c r="N37" s="255"/>
      <c r="O37" s="255"/>
      <c r="P37" s="792"/>
      <c r="Q37" s="29"/>
      <c r="R37" s="833"/>
      <c r="S37" s="796"/>
      <c r="T37" s="804"/>
      <c r="V37" s="779" t="s">
        <v>434</v>
      </c>
      <c r="W37" s="769"/>
      <c r="X37" s="780" t="s">
        <v>435</v>
      </c>
      <c r="Y37" s="761"/>
      <c r="Z37" s="29"/>
      <c r="AD37" s="1590" t="s">
        <v>300</v>
      </c>
      <c r="AE37" s="741" t="s">
        <v>725</v>
      </c>
      <c r="AF37" s="741" t="s">
        <v>1246</v>
      </c>
      <c r="AG37" s="1566" t="s">
        <v>1247</v>
      </c>
      <c r="AI37" s="749"/>
      <c r="AK37" s="848"/>
      <c r="AL37" s="255"/>
      <c r="AM37" s="255"/>
      <c r="AN37" s="111"/>
      <c r="AO37" s="254"/>
      <c r="AP37" s="792"/>
      <c r="AR37" s="122"/>
      <c r="BB37" s="886"/>
      <c r="BC37" s="255"/>
      <c r="BD37" s="255"/>
      <c r="BE37" s="29"/>
      <c r="BF37" s="243"/>
      <c r="BG37" s="255"/>
      <c r="BH37" s="792"/>
      <c r="BO37" s="793" t="s">
        <v>50</v>
      </c>
      <c r="BP37" s="799"/>
      <c r="BQ37" s="792"/>
      <c r="BR37" s="799"/>
      <c r="BS37" s="792"/>
      <c r="BT37" s="740"/>
      <c r="BU37" s="792"/>
      <c r="BW37" s="793" t="s">
        <v>50</v>
      </c>
      <c r="BX37" s="799"/>
      <c r="BY37" s="792"/>
      <c r="BZ37" s="799"/>
      <c r="CA37" s="792"/>
      <c r="CB37" s="740"/>
      <c r="CC37" s="792"/>
    </row>
    <row r="38" spans="1:81" ht="15" customHeight="1">
      <c r="A38" s="854" t="s">
        <v>63</v>
      </c>
      <c r="B38" s="251"/>
      <c r="C38" s="251"/>
      <c r="D38" s="871"/>
      <c r="F38" s="854" t="str">
        <f>+'Información General'!W45</f>
        <v>Pick up</v>
      </c>
      <c r="G38" s="255"/>
      <c r="H38" s="255"/>
      <c r="I38" s="792"/>
      <c r="K38" s="799"/>
      <c r="L38" s="255"/>
      <c r="M38" s="255" t="str">
        <f>+'Información General'!C46</f>
        <v>SOBRINO</v>
      </c>
      <c r="N38" s="255"/>
      <c r="O38" s="255"/>
      <c r="P38" s="792"/>
      <c r="Q38" s="29"/>
      <c r="R38" s="29" t="s">
        <v>1117</v>
      </c>
      <c r="S38" s="29"/>
      <c r="V38" s="781" t="s">
        <v>438</v>
      </c>
      <c r="W38" s="249" t="s">
        <v>439</v>
      </c>
      <c r="X38" s="249" t="s">
        <v>440</v>
      </c>
      <c r="Y38" s="755"/>
      <c r="Z38" s="29"/>
      <c r="AD38" s="799"/>
      <c r="AE38" s="255"/>
      <c r="AF38" s="208" t="s">
        <v>511</v>
      </c>
      <c r="AG38" s="883" t="s">
        <v>7</v>
      </c>
      <c r="AI38" s="749"/>
      <c r="AK38" s="848" t="str">
        <f>+'II. Datos  Ganaderos'!Q46</f>
        <v>     Vaquillonas preñadas</v>
      </c>
      <c r="AL38" s="255"/>
      <c r="AM38" s="255"/>
      <c r="AN38" s="255"/>
      <c r="AO38" s="254"/>
      <c r="AP38" s="792"/>
      <c r="BB38" s="886"/>
      <c r="BC38" s="255"/>
      <c r="BD38" s="255"/>
      <c r="BE38" s="29"/>
      <c r="BF38" s="243"/>
      <c r="BG38" s="255"/>
      <c r="BH38" s="792"/>
      <c r="BO38" s="793" t="s">
        <v>1130</v>
      </c>
      <c r="BP38" s="799"/>
      <c r="BQ38" s="792"/>
      <c r="BR38" s="799"/>
      <c r="BS38" s="792"/>
      <c r="BT38" s="740"/>
      <c r="BU38" s="792"/>
      <c r="BW38" s="793" t="s">
        <v>1130</v>
      </c>
      <c r="BX38" s="799"/>
      <c r="BY38" s="792"/>
      <c r="BZ38" s="799"/>
      <c r="CA38" s="792"/>
      <c r="CB38" s="740"/>
      <c r="CC38" s="792"/>
    </row>
    <row r="39" spans="1:81" ht="15" customHeight="1" thickBot="1">
      <c r="A39" s="853" t="s">
        <v>65</v>
      </c>
      <c r="B39" s="79"/>
      <c r="C39" s="248"/>
      <c r="D39" s="871"/>
      <c r="F39" s="854" t="str">
        <f>+'Información General'!W46</f>
        <v>................</v>
      </c>
      <c r="G39" s="255"/>
      <c r="H39" s="255"/>
      <c r="I39" s="792"/>
      <c r="K39" s="799"/>
      <c r="L39" s="255" t="str">
        <f>+'Información General'!B47</f>
        <v>PERSONAL CONTRATADO</v>
      </c>
      <c r="M39" s="255" t="str">
        <f>+'Información General'!C47</f>
        <v>OTROS</v>
      </c>
      <c r="N39" s="255"/>
      <c r="O39" s="255"/>
      <c r="P39" s="792"/>
      <c r="Q39" s="29"/>
      <c r="R39" s="29"/>
      <c r="S39" s="29"/>
      <c r="V39" s="756"/>
      <c r="W39" s="782" t="s">
        <v>443</v>
      </c>
      <c r="X39" s="764" t="s">
        <v>440</v>
      </c>
      <c r="Y39" s="758"/>
      <c r="Z39" s="29"/>
      <c r="AD39" s="831" t="s">
        <v>1248</v>
      </c>
      <c r="AE39" s="255"/>
      <c r="AF39" s="255"/>
      <c r="AG39" s="792"/>
      <c r="AI39" s="1582"/>
      <c r="AK39" s="848"/>
      <c r="AL39" s="255"/>
      <c r="AM39" s="255"/>
      <c r="AN39" s="255"/>
      <c r="AO39" s="254"/>
      <c r="AP39" s="792"/>
      <c r="BB39" s="886" t="s">
        <v>1119</v>
      </c>
      <c r="BC39" s="255"/>
      <c r="BD39" s="255"/>
      <c r="BE39" s="29"/>
      <c r="BF39" s="243" t="s">
        <v>1119</v>
      </c>
      <c r="BG39" s="255"/>
      <c r="BH39" s="880"/>
      <c r="BO39" s="793"/>
      <c r="BP39" s="799"/>
      <c r="BQ39" s="792"/>
      <c r="BR39" s="799"/>
      <c r="BS39" s="792"/>
      <c r="BT39" s="740"/>
      <c r="BU39" s="792"/>
      <c r="BW39" s="793"/>
      <c r="BX39" s="799"/>
      <c r="BY39" s="792"/>
      <c r="BZ39" s="799"/>
      <c r="CA39" s="792"/>
      <c r="CB39" s="740"/>
      <c r="CC39" s="792"/>
    </row>
    <row r="40" spans="1:81" ht="15" customHeight="1">
      <c r="A40" s="831" t="s">
        <v>68</v>
      </c>
      <c r="B40" s="251"/>
      <c r="C40" s="251"/>
      <c r="D40" s="871"/>
      <c r="F40" s="872" t="str">
        <f>+'Información General'!W47</f>
        <v>VARIOS</v>
      </c>
      <c r="G40" s="1553"/>
      <c r="H40" s="1553"/>
      <c r="I40" s="1554"/>
      <c r="K40" s="799"/>
      <c r="L40" s="255"/>
      <c r="M40" s="255" t="str">
        <f>+'Información General'!C48</f>
        <v>OTROS</v>
      </c>
      <c r="N40" s="255"/>
      <c r="O40" s="255"/>
      <c r="P40" s="792"/>
      <c r="Q40" s="29"/>
      <c r="R40" s="349"/>
      <c r="S40" s="1636"/>
      <c r="T40" s="1637"/>
      <c r="V40" s="784" t="s">
        <v>450</v>
      </c>
      <c r="W40" s="785" t="s">
        <v>451</v>
      </c>
      <c r="X40" s="786" t="s">
        <v>452</v>
      </c>
      <c r="Y40" s="761"/>
      <c r="AD40" s="1584" t="s">
        <v>328</v>
      </c>
      <c r="AE40" s="255"/>
      <c r="AF40" s="29"/>
      <c r="AG40" s="792"/>
      <c r="AI40" s="98"/>
      <c r="AK40" s="848"/>
      <c r="AL40" s="255"/>
      <c r="AM40" s="255"/>
      <c r="AN40" s="255"/>
      <c r="AO40" s="254"/>
      <c r="AP40" s="792"/>
      <c r="BB40" s="886" t="s">
        <v>1121</v>
      </c>
      <c r="BC40" s="255"/>
      <c r="BD40" s="255"/>
      <c r="BE40" s="29"/>
      <c r="BF40" s="243" t="s">
        <v>1121</v>
      </c>
      <c r="BG40" s="255"/>
      <c r="BH40" s="792"/>
      <c r="BO40" s="838" t="s">
        <v>50</v>
      </c>
      <c r="BP40" s="799"/>
      <c r="BQ40" s="792"/>
      <c r="BR40" s="799"/>
      <c r="BS40" s="792"/>
      <c r="BT40" s="740"/>
      <c r="BU40" s="792"/>
      <c r="BW40" s="838" t="s">
        <v>50</v>
      </c>
      <c r="BX40" s="799"/>
      <c r="BY40" s="792"/>
      <c r="BZ40" s="799"/>
      <c r="CA40" s="792"/>
      <c r="CB40" s="740"/>
      <c r="CC40" s="792"/>
    </row>
    <row r="41" spans="1:81" ht="15" customHeight="1">
      <c r="A41" s="831" t="s">
        <v>69</v>
      </c>
      <c r="B41" s="251"/>
      <c r="C41" s="251"/>
      <c r="D41" s="871"/>
      <c r="F41" s="854" t="str">
        <f>+'Información General'!W48</f>
        <v>Boyero</v>
      </c>
      <c r="G41" s="255"/>
      <c r="H41" s="255"/>
      <c r="I41" s="792"/>
      <c r="K41" s="799"/>
      <c r="L41" s="255"/>
      <c r="M41" s="255" t="str">
        <f>+'Información General'!C49</f>
        <v>OTROS</v>
      </c>
      <c r="N41" s="255"/>
      <c r="O41" s="255"/>
      <c r="P41" s="792"/>
      <c r="Q41" s="29"/>
      <c r="R41" s="242"/>
      <c r="S41" s="99"/>
      <c r="T41" s="1638"/>
      <c r="V41" s="787"/>
      <c r="W41" s="744" t="s">
        <v>455</v>
      </c>
      <c r="X41" s="783" t="s">
        <v>452</v>
      </c>
      <c r="Y41" s="755"/>
      <c r="AD41" s="1584" t="s">
        <v>335</v>
      </c>
      <c r="AE41" s="255"/>
      <c r="AF41" s="29"/>
      <c r="AG41" s="792"/>
      <c r="AI41" s="1576"/>
      <c r="AK41" s="848" t="str">
        <f>+'II. Datos  Ganaderos'!Q47</f>
        <v>     Terneros/as &lt; 1 año</v>
      </c>
      <c r="AL41" s="255"/>
      <c r="AM41" s="255"/>
      <c r="AN41" s="255"/>
      <c r="AO41" s="254"/>
      <c r="AP41" s="792"/>
      <c r="BB41" s="886" t="s">
        <v>642</v>
      </c>
      <c r="BC41" s="208" t="s">
        <v>419</v>
      </c>
      <c r="BD41" s="208" t="s">
        <v>805</v>
      </c>
      <c r="BE41" s="29"/>
      <c r="BF41" s="243" t="s">
        <v>642</v>
      </c>
      <c r="BG41" s="208" t="s">
        <v>419</v>
      </c>
      <c r="BH41" s="883" t="s">
        <v>805</v>
      </c>
      <c r="BO41" s="793"/>
      <c r="BP41" s="799"/>
      <c r="BQ41" s="792"/>
      <c r="BR41" s="799"/>
      <c r="BS41" s="792"/>
      <c r="BT41" s="740"/>
      <c r="BU41" s="792"/>
      <c r="BW41" s="793"/>
      <c r="BX41" s="799"/>
      <c r="BY41" s="792"/>
      <c r="BZ41" s="799"/>
      <c r="CA41" s="792"/>
      <c r="CB41" s="740"/>
      <c r="CC41" s="792"/>
    </row>
    <row r="42" spans="1:81" ht="15" customHeight="1">
      <c r="A42" s="831" t="s">
        <v>76</v>
      </c>
      <c r="B42" s="251"/>
      <c r="C42" s="251"/>
      <c r="D42" s="871"/>
      <c r="F42" s="854" t="str">
        <f>+'Información General'!W49</f>
        <v>Tanque combustible</v>
      </c>
      <c r="G42" s="255"/>
      <c r="H42" s="255"/>
      <c r="I42" s="792"/>
      <c r="K42" s="799" t="str">
        <f>+'Información General'!A50</f>
        <v>INVERNADA</v>
      </c>
      <c r="L42" s="255" t="str">
        <f>+'Información General'!B50</f>
        <v>FAMILIAR</v>
      </c>
      <c r="M42" s="255" t="str">
        <f>+'Información General'!C50</f>
        <v>HIJO</v>
      </c>
      <c r="N42" s="255"/>
      <c r="O42" s="255"/>
      <c r="P42" s="792"/>
      <c r="Q42" s="29"/>
      <c r="R42" s="242"/>
      <c r="S42" s="99"/>
      <c r="T42" s="1638"/>
      <c r="V42" s="788"/>
      <c r="W42" s="744" t="s">
        <v>458</v>
      </c>
      <c r="X42" s="783" t="s">
        <v>452</v>
      </c>
      <c r="Y42" s="755"/>
      <c r="AD42" s="1584" t="s">
        <v>342</v>
      </c>
      <c r="AE42" s="255"/>
      <c r="AF42" s="29"/>
      <c r="AG42" s="792"/>
      <c r="AI42" s="1580"/>
      <c r="AK42" s="848"/>
      <c r="AL42" s="255"/>
      <c r="AM42" s="255"/>
      <c r="AN42" s="111"/>
      <c r="AO42" s="254"/>
      <c r="AP42" s="792"/>
      <c r="BB42" s="886" t="s">
        <v>643</v>
      </c>
      <c r="BC42" s="255"/>
      <c r="BD42" s="255"/>
      <c r="BE42" s="29"/>
      <c r="BF42" s="243" t="s">
        <v>643</v>
      </c>
      <c r="BG42" s="208"/>
      <c r="BH42" s="883"/>
      <c r="BO42" s="793"/>
      <c r="BP42" s="799"/>
      <c r="BQ42" s="792"/>
      <c r="BR42" s="799"/>
      <c r="BS42" s="792"/>
      <c r="BT42" s="740"/>
      <c r="BU42" s="792"/>
      <c r="BW42" s="793"/>
      <c r="BX42" s="799"/>
      <c r="BY42" s="792"/>
      <c r="BZ42" s="799"/>
      <c r="CA42" s="792"/>
      <c r="CB42" s="740"/>
      <c r="CC42" s="792"/>
    </row>
    <row r="43" spans="1:81" ht="15" customHeight="1">
      <c r="A43" s="831" t="s">
        <v>80</v>
      </c>
      <c r="B43" s="251"/>
      <c r="C43" s="251"/>
      <c r="D43" s="871"/>
      <c r="F43" s="854" t="str">
        <f>+'Información General'!W50</f>
        <v>Acoplado</v>
      </c>
      <c r="G43" s="255"/>
      <c r="H43" s="255"/>
      <c r="I43" s="792"/>
      <c r="K43" s="799"/>
      <c r="L43" s="255" t="str">
        <f>+'Información General'!B51</f>
        <v>PERSONAL CONTRATADO</v>
      </c>
      <c r="M43" s="255" t="str">
        <f>+'Información General'!C51</f>
        <v>OTROS</v>
      </c>
      <c r="N43" s="255"/>
      <c r="O43" s="255"/>
      <c r="P43" s="792"/>
      <c r="Q43" s="29"/>
      <c r="R43" s="29"/>
      <c r="S43" s="99"/>
      <c r="T43" s="1638"/>
      <c r="V43" s="789" t="s">
        <v>460</v>
      </c>
      <c r="W43" s="260"/>
      <c r="X43" s="59" t="s">
        <v>452</v>
      </c>
      <c r="Y43" s="773"/>
      <c r="AD43" s="799"/>
      <c r="AE43" s="208"/>
      <c r="AF43" s="29"/>
      <c r="AG43" s="792"/>
      <c r="AI43" s="749"/>
      <c r="AK43" s="848" t="str">
        <f>+'II. Datos  Ganaderos'!Q49</f>
        <v>Otra categoria de tambo</v>
      </c>
      <c r="AL43" s="255"/>
      <c r="AM43" s="255"/>
      <c r="AN43" s="255"/>
      <c r="AO43" s="254"/>
      <c r="AP43" s="792"/>
      <c r="BB43" s="886" t="s">
        <v>644</v>
      </c>
      <c r="BC43" s="255"/>
      <c r="BD43" s="255"/>
      <c r="BE43" s="29"/>
      <c r="BF43" s="243" t="s">
        <v>644</v>
      </c>
      <c r="BG43" s="255"/>
      <c r="BH43" s="792"/>
      <c r="BO43" s="793"/>
      <c r="BP43" s="799"/>
      <c r="BQ43" s="792"/>
      <c r="BR43" s="799"/>
      <c r="BS43" s="792"/>
      <c r="BT43" s="740"/>
      <c r="BU43" s="792"/>
      <c r="BW43" s="793"/>
      <c r="BX43" s="799"/>
      <c r="BY43" s="792"/>
      <c r="BZ43" s="799"/>
      <c r="CA43" s="792"/>
      <c r="CB43" s="740"/>
      <c r="CC43" s="792"/>
    </row>
    <row r="44" spans="1:81" ht="15" customHeight="1">
      <c r="A44" s="831"/>
      <c r="B44" s="251"/>
      <c r="C44" s="251"/>
      <c r="D44" s="871"/>
      <c r="F44" s="854"/>
      <c r="G44" s="255"/>
      <c r="H44" s="255"/>
      <c r="I44" s="792"/>
      <c r="K44" s="799"/>
      <c r="L44" s="255"/>
      <c r="M44" s="255" t="str">
        <f>+'Información General'!C52</f>
        <v>ENCARGADO</v>
      </c>
      <c r="N44" s="255"/>
      <c r="O44" s="255"/>
      <c r="P44" s="792"/>
      <c r="Q44" s="29"/>
      <c r="R44" s="29"/>
      <c r="S44" s="29"/>
      <c r="V44" s="774" t="s">
        <v>1123</v>
      </c>
      <c r="W44" s="260"/>
      <c r="X44" s="59" t="s">
        <v>452</v>
      </c>
      <c r="Y44" s="773"/>
      <c r="AD44" s="831" t="s">
        <v>1249</v>
      </c>
      <c r="AE44" s="255"/>
      <c r="AF44" s="255"/>
      <c r="AG44" s="792"/>
      <c r="AI44" s="749"/>
      <c r="AK44" s="848"/>
      <c r="AL44" s="255"/>
      <c r="AM44" s="255"/>
      <c r="AN44" s="255"/>
      <c r="AO44" s="254"/>
      <c r="AP44" s="792"/>
      <c r="BB44" s="886" t="s">
        <v>645</v>
      </c>
      <c r="BC44" s="255"/>
      <c r="BD44" s="255"/>
      <c r="BE44" s="29"/>
      <c r="BF44" s="243" t="s">
        <v>645</v>
      </c>
      <c r="BG44" s="255"/>
      <c r="BH44" s="792"/>
      <c r="BO44" s="793"/>
      <c r="BP44" s="799"/>
      <c r="BQ44" s="792"/>
      <c r="BR44" s="799"/>
      <c r="BS44" s="792"/>
      <c r="BT44" s="740"/>
      <c r="BU44" s="792"/>
      <c r="BW44" s="793"/>
      <c r="BX44" s="799"/>
      <c r="BY44" s="792"/>
      <c r="BZ44" s="799"/>
      <c r="CA44" s="792"/>
      <c r="CB44" s="740"/>
      <c r="CC44" s="792"/>
    </row>
    <row r="45" spans="1:81" ht="15" customHeight="1" thickBot="1">
      <c r="A45" s="831" t="s">
        <v>84</v>
      </c>
      <c r="B45" s="251"/>
      <c r="C45" s="251"/>
      <c r="D45" s="871"/>
      <c r="F45" s="854"/>
      <c r="G45" s="255"/>
      <c r="H45" s="255"/>
      <c r="I45" s="792"/>
      <c r="K45" s="799" t="str">
        <f>+'Información General'!A53</f>
        <v>AGRICULTURA</v>
      </c>
      <c r="L45" s="255" t="str">
        <f>+'Información General'!B53</f>
        <v>FAMILIAR</v>
      </c>
      <c r="M45" s="255" t="str">
        <f>+'Información General'!C53</f>
        <v>HIJO</v>
      </c>
      <c r="N45" s="255"/>
      <c r="O45" s="255"/>
      <c r="P45" s="792"/>
      <c r="Q45" s="29"/>
      <c r="V45" s="775" t="s">
        <v>1125</v>
      </c>
      <c r="W45" s="790"/>
      <c r="X45" s="777"/>
      <c r="Y45" s="778"/>
      <c r="AD45" s="1584" t="s">
        <v>328</v>
      </c>
      <c r="AE45" s="736"/>
      <c r="AF45" s="748"/>
      <c r="AG45" s="792"/>
      <c r="AI45" s="749"/>
      <c r="AK45" s="1622" t="s">
        <v>106</v>
      </c>
      <c r="AL45" s="1623"/>
      <c r="AM45" s="1623"/>
      <c r="AN45" s="1623"/>
      <c r="AO45" s="1624"/>
      <c r="AP45" s="1625"/>
      <c r="AX45" s="29"/>
      <c r="BB45" s="887" t="s">
        <v>646</v>
      </c>
      <c r="BC45" s="255"/>
      <c r="BD45" s="255"/>
      <c r="BE45" s="29"/>
      <c r="BF45" s="244" t="s">
        <v>646</v>
      </c>
      <c r="BG45" s="255"/>
      <c r="BH45" s="792"/>
      <c r="BO45" s="793"/>
      <c r="BP45" s="799"/>
      <c r="BQ45" s="792"/>
      <c r="BR45" s="799"/>
      <c r="BS45" s="792"/>
      <c r="BT45" s="740"/>
      <c r="BU45" s="792"/>
      <c r="BW45" s="793"/>
      <c r="BX45" s="799"/>
      <c r="BY45" s="792"/>
      <c r="BZ45" s="799"/>
      <c r="CA45" s="792"/>
      <c r="CB45" s="740"/>
      <c r="CC45" s="792"/>
    </row>
    <row r="46" spans="1:81" ht="15" customHeight="1">
      <c r="A46" s="831" t="s">
        <v>88</v>
      </c>
      <c r="B46" s="251"/>
      <c r="C46" s="251"/>
      <c r="D46" s="871"/>
      <c r="F46" s="854"/>
      <c r="G46" s="255"/>
      <c r="H46" s="255"/>
      <c r="I46" s="792"/>
      <c r="K46" s="799"/>
      <c r="L46" s="255" t="str">
        <f>+'Información General'!B54</f>
        <v>PERSONAL CONTRATADO</v>
      </c>
      <c r="M46" s="255" t="str">
        <f>+'Información General'!C54</f>
        <v>TRACTORISTA</v>
      </c>
      <c r="N46" s="255"/>
      <c r="O46" s="255"/>
      <c r="P46" s="792"/>
      <c r="Q46" s="29"/>
      <c r="R46" s="29"/>
      <c r="S46" s="29"/>
      <c r="V46" s="779" t="s">
        <v>1126</v>
      </c>
      <c r="W46" s="769"/>
      <c r="X46" s="770" t="s">
        <v>7</v>
      </c>
      <c r="Y46" s="753"/>
      <c r="AD46" s="1584" t="s">
        <v>335</v>
      </c>
      <c r="AE46" s="736"/>
      <c r="AF46" s="1450"/>
      <c r="AG46" s="792"/>
      <c r="AI46" s="749"/>
      <c r="AK46" s="799" t="str">
        <f>+'II. Datos  Ganaderos'!Q99</f>
        <v>Novillos invernada</v>
      </c>
      <c r="AL46" s="255"/>
      <c r="AM46" s="255"/>
      <c r="AN46" s="255"/>
      <c r="AO46" s="255"/>
      <c r="AP46" s="792"/>
      <c r="BB46" s="886" t="s">
        <v>647</v>
      </c>
      <c r="BC46" s="255"/>
      <c r="BD46" s="255"/>
      <c r="BE46" s="29"/>
      <c r="BF46" s="243" t="s">
        <v>647</v>
      </c>
      <c r="BG46" s="255"/>
      <c r="BH46" s="792"/>
      <c r="BO46" s="793" t="s">
        <v>908</v>
      </c>
      <c r="BP46" s="799"/>
      <c r="BQ46" s="792"/>
      <c r="BR46" s="799"/>
      <c r="BS46" s="792"/>
      <c r="BT46" s="740"/>
      <c r="BU46" s="792"/>
      <c r="BW46" s="793" t="s">
        <v>908</v>
      </c>
      <c r="BX46" s="799"/>
      <c r="BY46" s="792"/>
      <c r="BZ46" s="799"/>
      <c r="CA46" s="792"/>
      <c r="CB46" s="740"/>
      <c r="CC46" s="792"/>
    </row>
    <row r="47" spans="1:81" ht="15" customHeight="1" thickBot="1">
      <c r="A47" s="831" t="s">
        <v>91</v>
      </c>
      <c r="B47" s="251"/>
      <c r="C47" s="251"/>
      <c r="D47" s="871"/>
      <c r="F47" s="854"/>
      <c r="G47" s="255"/>
      <c r="H47" s="255"/>
      <c r="I47" s="792"/>
      <c r="K47" s="836"/>
      <c r="L47" s="802"/>
      <c r="M47" s="802" t="str">
        <f>+'Información General'!C55</f>
        <v>OTROS</v>
      </c>
      <c r="N47" s="802"/>
      <c r="O47" s="802"/>
      <c r="P47" s="804"/>
      <c r="Q47" s="29"/>
      <c r="R47" s="29"/>
      <c r="S47" s="29"/>
      <c r="V47" s="789" t="s">
        <v>1127</v>
      </c>
      <c r="W47" s="742"/>
      <c r="X47" s="252" t="s">
        <v>7</v>
      </c>
      <c r="Y47" s="792"/>
      <c r="AD47" s="1584" t="s">
        <v>342</v>
      </c>
      <c r="AE47" s="736"/>
      <c r="AF47" s="1450"/>
      <c r="AG47" s="792"/>
      <c r="AI47" s="749"/>
      <c r="AK47" s="799"/>
      <c r="AL47" s="255"/>
      <c r="AM47" s="255"/>
      <c r="AN47" s="255"/>
      <c r="AO47" s="255"/>
      <c r="AP47" s="792"/>
      <c r="BB47" s="886" t="s">
        <v>648</v>
      </c>
      <c r="BC47" s="255"/>
      <c r="BD47" s="255"/>
      <c r="BE47" s="29"/>
      <c r="BF47" s="243" t="s">
        <v>648</v>
      </c>
      <c r="BG47" s="255"/>
      <c r="BH47" s="792"/>
      <c r="BO47" s="793"/>
      <c r="BP47" s="799"/>
      <c r="BQ47" s="792"/>
      <c r="BR47" s="799"/>
      <c r="BS47" s="792"/>
      <c r="BT47" s="740"/>
      <c r="BU47" s="792"/>
      <c r="BW47" s="793"/>
      <c r="BX47" s="799"/>
      <c r="BY47" s="792"/>
      <c r="BZ47" s="799"/>
      <c r="CA47" s="792"/>
      <c r="CB47" s="740"/>
      <c r="CC47" s="792"/>
    </row>
    <row r="48" spans="1:81" ht="15" customHeight="1">
      <c r="A48" s="831"/>
      <c r="B48" s="251"/>
      <c r="C48" s="251"/>
      <c r="D48" s="871"/>
      <c r="F48" s="799"/>
      <c r="G48" s="255"/>
      <c r="H48" s="255"/>
      <c r="I48" s="792"/>
      <c r="K48" s="735"/>
      <c r="L48" s="735"/>
      <c r="M48" s="735"/>
      <c r="N48" s="735"/>
      <c r="O48" s="735"/>
      <c r="P48" s="735"/>
      <c r="Q48" s="29"/>
      <c r="R48" s="29"/>
      <c r="S48" s="29"/>
      <c r="V48" s="793" t="s">
        <v>1128</v>
      </c>
      <c r="W48" s="742"/>
      <c r="X48" s="261" t="s">
        <v>1129</v>
      </c>
      <c r="Y48" s="755"/>
      <c r="AD48" s="834"/>
      <c r="AE48" s="1585"/>
      <c r="AF48" s="747"/>
      <c r="AG48" s="792"/>
      <c r="AI48" s="749"/>
      <c r="AK48" s="799" t="str">
        <f>+'II. Datos  Ganaderos'!Q100</f>
        <v>Novillitos invernada</v>
      </c>
      <c r="AL48" s="255"/>
      <c r="AM48" s="255"/>
      <c r="AN48" s="255"/>
      <c r="AO48" s="255"/>
      <c r="AP48" s="792"/>
      <c r="BB48" s="886"/>
      <c r="BC48" s="255"/>
      <c r="BD48" s="255"/>
      <c r="BE48" s="29"/>
      <c r="BF48" s="243"/>
      <c r="BG48" s="255"/>
      <c r="BH48" s="792"/>
      <c r="BO48" s="793"/>
      <c r="BP48" s="799"/>
      <c r="BQ48" s="792"/>
      <c r="BR48" s="799"/>
      <c r="BS48" s="792"/>
      <c r="BT48" s="740"/>
      <c r="BU48" s="792"/>
      <c r="BW48" s="793"/>
      <c r="BX48" s="799"/>
      <c r="BY48" s="792"/>
      <c r="BZ48" s="799"/>
      <c r="CA48" s="792"/>
      <c r="CB48" s="740"/>
      <c r="CC48" s="792"/>
    </row>
    <row r="49" spans="1:81" ht="15" customHeight="1">
      <c r="A49" s="831" t="s">
        <v>93</v>
      </c>
      <c r="B49" s="251"/>
      <c r="C49" s="251"/>
      <c r="D49" s="871"/>
      <c r="F49" s="799"/>
      <c r="G49" s="255"/>
      <c r="H49" s="255"/>
      <c r="I49" s="792"/>
      <c r="K49" s="735" t="s">
        <v>1264</v>
      </c>
      <c r="L49" s="735"/>
      <c r="M49" s="735"/>
      <c r="N49" s="735"/>
      <c r="O49" s="735"/>
      <c r="P49" s="735"/>
      <c r="Q49" s="29"/>
      <c r="R49" s="29"/>
      <c r="S49" s="29"/>
      <c r="V49" s="789" t="s">
        <v>1131</v>
      </c>
      <c r="W49" s="742"/>
      <c r="X49" s="252" t="s">
        <v>7</v>
      </c>
      <c r="Y49" s="792"/>
      <c r="AD49" s="800" t="s">
        <v>1250</v>
      </c>
      <c r="AE49" s="255"/>
      <c r="AF49" s="736"/>
      <c r="AG49" s="792"/>
      <c r="AI49" s="749"/>
      <c r="AK49" s="799"/>
      <c r="AL49" s="255"/>
      <c r="AM49" s="255"/>
      <c r="AN49" s="255"/>
      <c r="AO49" s="255"/>
      <c r="AP49" s="792"/>
      <c r="BB49" s="888" t="s">
        <v>1133</v>
      </c>
      <c r="BC49" s="255"/>
      <c r="BD49" s="255"/>
      <c r="BE49" s="29"/>
      <c r="BF49" s="159" t="s">
        <v>1133</v>
      </c>
      <c r="BG49" s="255"/>
      <c r="BH49" s="792"/>
      <c r="BO49" s="793"/>
      <c r="BP49" s="799"/>
      <c r="BQ49" s="792"/>
      <c r="BR49" s="799"/>
      <c r="BS49" s="792"/>
      <c r="BT49" s="740"/>
      <c r="BU49" s="792"/>
      <c r="BW49" s="793"/>
      <c r="BX49" s="799"/>
      <c r="BY49" s="792"/>
      <c r="BZ49" s="799"/>
      <c r="CA49" s="792"/>
      <c r="CB49" s="740"/>
      <c r="CC49" s="792"/>
    </row>
    <row r="50" spans="1:81" ht="15" customHeight="1" thickBot="1">
      <c r="A50" s="831" t="s">
        <v>96</v>
      </c>
      <c r="B50" s="255"/>
      <c r="C50" s="255"/>
      <c r="D50" s="792"/>
      <c r="F50" s="836"/>
      <c r="G50" s="802"/>
      <c r="H50" s="802"/>
      <c r="I50" s="804"/>
      <c r="L50" s="81"/>
      <c r="M50" s="81"/>
      <c r="Q50" s="29"/>
      <c r="R50" s="29"/>
      <c r="S50" s="29"/>
      <c r="V50" s="794" t="s">
        <v>1134</v>
      </c>
      <c r="W50" s="742"/>
      <c r="X50" s="252" t="s">
        <v>7</v>
      </c>
      <c r="Y50" s="792"/>
      <c r="AD50" s="1584" t="s">
        <v>328</v>
      </c>
      <c r="AE50" s="255"/>
      <c r="AF50" s="29"/>
      <c r="AG50" s="792"/>
      <c r="AI50" s="749"/>
      <c r="AK50" s="799" t="str">
        <f>+'II. Datos  Ganaderos'!Q102</f>
        <v>Vaquillonas invernada</v>
      </c>
      <c r="AL50" s="255"/>
      <c r="AM50" s="255"/>
      <c r="AN50" s="255"/>
      <c r="AO50" s="255"/>
      <c r="AP50" s="792"/>
      <c r="BB50" s="889" t="s">
        <v>653</v>
      </c>
      <c r="BC50" s="802"/>
      <c r="BD50" s="802"/>
      <c r="BE50" s="826"/>
      <c r="BF50" s="890" t="s">
        <v>653</v>
      </c>
      <c r="BG50" s="802"/>
      <c r="BH50" s="804"/>
      <c r="BO50" s="793" t="s">
        <v>907</v>
      </c>
      <c r="BP50" s="799"/>
      <c r="BQ50" s="792"/>
      <c r="BR50" s="799"/>
      <c r="BS50" s="792"/>
      <c r="BT50" s="740"/>
      <c r="BU50" s="792"/>
      <c r="BW50" s="793" t="s">
        <v>907</v>
      </c>
      <c r="BX50" s="799"/>
      <c r="BY50" s="792"/>
      <c r="BZ50" s="799"/>
      <c r="CA50" s="792"/>
      <c r="CB50" s="740"/>
      <c r="CC50" s="792"/>
    </row>
    <row r="51" spans="1:81" ht="15" customHeight="1">
      <c r="A51" s="831"/>
      <c r="B51" s="255"/>
      <c r="C51" s="255"/>
      <c r="D51" s="792"/>
      <c r="F51" s="122"/>
      <c r="G51" s="29"/>
      <c r="H51" s="29"/>
      <c r="I51" s="29"/>
      <c r="K51" s="665" t="s">
        <v>1124</v>
      </c>
      <c r="L51" s="1635"/>
      <c r="M51" s="81"/>
      <c r="Q51" s="29"/>
      <c r="R51" s="29"/>
      <c r="S51" s="29"/>
      <c r="V51" s="794" t="s">
        <v>1135</v>
      </c>
      <c r="W51" s="742"/>
      <c r="X51" s="252" t="s">
        <v>7</v>
      </c>
      <c r="Y51" s="792"/>
      <c r="AD51" s="1584" t="s">
        <v>335</v>
      </c>
      <c r="AE51" s="255"/>
      <c r="AF51" s="29"/>
      <c r="AG51" s="792"/>
      <c r="AI51" s="749"/>
      <c r="AK51" s="799"/>
      <c r="AL51" s="748"/>
      <c r="AM51" s="748"/>
      <c r="AN51" s="748"/>
      <c r="AO51" s="748"/>
      <c r="AP51" s="808"/>
      <c r="BB51" s="1490"/>
      <c r="BC51" s="29"/>
      <c r="BD51" s="29"/>
      <c r="BE51" s="29"/>
      <c r="BF51" s="1490"/>
      <c r="BG51" s="29"/>
      <c r="BH51" s="29"/>
      <c r="BO51" s="793"/>
      <c r="BP51" s="799"/>
      <c r="BQ51" s="792"/>
      <c r="BR51" s="799"/>
      <c r="BS51" s="792"/>
      <c r="BT51" s="740"/>
      <c r="BU51" s="792"/>
      <c r="BW51" s="793"/>
      <c r="BX51" s="799"/>
      <c r="BY51" s="792"/>
      <c r="BZ51" s="799"/>
      <c r="CA51" s="792"/>
      <c r="CB51" s="740"/>
      <c r="CC51" s="792"/>
    </row>
    <row r="52" spans="1:81" ht="15" customHeight="1">
      <c r="A52" s="831" t="s">
        <v>99</v>
      </c>
      <c r="B52" s="255"/>
      <c r="C52" s="255"/>
      <c r="D52" s="792"/>
      <c r="G52" s="29"/>
      <c r="H52" s="29"/>
      <c r="I52" s="29"/>
      <c r="L52" s="81"/>
      <c r="M52" s="81"/>
      <c r="Q52" s="29"/>
      <c r="R52" s="29"/>
      <c r="S52" s="29"/>
      <c r="V52" s="794" t="s">
        <v>1137</v>
      </c>
      <c r="W52" s="742"/>
      <c r="X52" s="252" t="s">
        <v>419</v>
      </c>
      <c r="Y52" s="792"/>
      <c r="AD52" s="1584" t="s">
        <v>342</v>
      </c>
      <c r="AE52" s="255"/>
      <c r="AF52" s="29"/>
      <c r="AG52" s="792"/>
      <c r="AI52" s="749"/>
      <c r="AK52" s="903" t="str">
        <f>+'II. Datos  Ganaderos'!Q92</f>
        <v>Total concentrados (kg)</v>
      </c>
      <c r="AL52" s="748"/>
      <c r="AM52" s="748"/>
      <c r="AN52" s="748"/>
      <c r="AO52" s="748"/>
      <c r="AP52" s="808"/>
      <c r="BB52" s="1490"/>
      <c r="BC52" s="29"/>
      <c r="BD52" s="29"/>
      <c r="BE52" s="29"/>
      <c r="BF52" s="1490"/>
      <c r="BG52" s="29"/>
      <c r="BH52" s="29"/>
      <c r="BO52" s="793"/>
      <c r="BP52" s="799"/>
      <c r="BQ52" s="792"/>
      <c r="BR52" s="799"/>
      <c r="BS52" s="792"/>
      <c r="BT52" s="740"/>
      <c r="BU52" s="792"/>
      <c r="BW52" s="793"/>
      <c r="BX52" s="799"/>
      <c r="BY52" s="792"/>
      <c r="BZ52" s="799"/>
      <c r="CA52" s="792"/>
      <c r="CB52" s="740"/>
      <c r="CC52" s="792"/>
    </row>
    <row r="53" spans="1:81" ht="15" customHeight="1">
      <c r="A53" s="831" t="s">
        <v>102</v>
      </c>
      <c r="B53" s="255"/>
      <c r="C53" s="255"/>
      <c r="D53" s="792"/>
      <c r="K53" s="81"/>
      <c r="L53" s="81"/>
      <c r="Q53" s="29"/>
      <c r="R53" s="29"/>
      <c r="S53" s="29"/>
      <c r="V53" s="794" t="s">
        <v>1003</v>
      </c>
      <c r="W53" s="742"/>
      <c r="X53" s="252" t="s">
        <v>7</v>
      </c>
      <c r="Y53" s="792"/>
      <c r="AD53" s="831"/>
      <c r="AE53" s="255"/>
      <c r="AF53" s="29"/>
      <c r="AG53" s="792"/>
      <c r="AI53" s="749"/>
      <c r="AK53" s="799"/>
      <c r="AL53" s="255"/>
      <c r="AM53" s="255"/>
      <c r="AN53" s="255"/>
      <c r="AO53" s="255"/>
      <c r="AP53" s="792"/>
      <c r="BO53" s="793"/>
      <c r="BP53" s="799"/>
      <c r="BQ53" s="792"/>
      <c r="BR53" s="799"/>
      <c r="BS53" s="792"/>
      <c r="BT53" s="740"/>
      <c r="BU53" s="792"/>
      <c r="BW53" s="793"/>
      <c r="BX53" s="799"/>
      <c r="BY53" s="792"/>
      <c r="BZ53" s="799"/>
      <c r="CA53" s="792"/>
      <c r="CB53" s="740"/>
      <c r="CC53" s="792"/>
    </row>
    <row r="54" spans="1:81" ht="15" customHeight="1" thickBot="1">
      <c r="A54" s="831"/>
      <c r="B54" s="255"/>
      <c r="C54" s="255"/>
      <c r="D54" s="792"/>
      <c r="K54" s="81"/>
      <c r="L54" s="81"/>
      <c r="O54" s="29"/>
      <c r="P54" s="29"/>
      <c r="Q54" s="29"/>
      <c r="R54" s="29"/>
      <c r="S54" s="29"/>
      <c r="V54" s="794" t="s">
        <v>1003</v>
      </c>
      <c r="W54" s="742"/>
      <c r="X54" s="252" t="s">
        <v>7</v>
      </c>
      <c r="Y54" s="792"/>
      <c r="AD54" s="1586" t="s">
        <v>1084</v>
      </c>
      <c r="AE54" s="802"/>
      <c r="AF54" s="802"/>
      <c r="AG54" s="1587"/>
      <c r="AI54" s="749"/>
      <c r="AK54" s="799" t="str">
        <f>+'II. Datos  Ganaderos'!Q92</f>
        <v>Total concentrados (kg)</v>
      </c>
      <c r="AL54" s="255"/>
      <c r="AM54" s="255"/>
      <c r="AN54" s="255"/>
      <c r="AO54" s="255"/>
      <c r="AP54" s="792"/>
      <c r="BO54" s="793"/>
      <c r="BP54" s="799"/>
      <c r="BQ54" s="792"/>
      <c r="BR54" s="799"/>
      <c r="BS54" s="792"/>
      <c r="BT54" s="740"/>
      <c r="BU54" s="792"/>
      <c r="BW54" s="793"/>
      <c r="BX54" s="799"/>
      <c r="BY54" s="792"/>
      <c r="BZ54" s="799"/>
      <c r="CA54" s="792"/>
      <c r="CB54" s="740"/>
      <c r="CC54" s="792"/>
    </row>
    <row r="55" spans="1:81" ht="15" customHeight="1" thickBot="1">
      <c r="A55" s="831"/>
      <c r="B55" s="255"/>
      <c r="C55" s="255"/>
      <c r="D55" s="792"/>
      <c r="K55" s="81"/>
      <c r="L55" s="81"/>
      <c r="O55" s="29"/>
      <c r="P55" s="29"/>
      <c r="Q55" s="29"/>
      <c r="R55" s="29"/>
      <c r="S55" s="29"/>
      <c r="V55" s="795" t="s">
        <v>1003</v>
      </c>
      <c r="W55" s="796" t="s">
        <v>50</v>
      </c>
      <c r="X55" s="797" t="s">
        <v>7</v>
      </c>
      <c r="Y55" s="758" t="s">
        <v>50</v>
      </c>
      <c r="AI55" s="749"/>
      <c r="AK55" s="799"/>
      <c r="AL55" s="255"/>
      <c r="AM55" s="255"/>
      <c r="AN55" s="255"/>
      <c r="AO55" s="255"/>
      <c r="AP55" s="792"/>
      <c r="BO55" s="793" t="s">
        <v>664</v>
      </c>
      <c r="BP55" s="799"/>
      <c r="BQ55" s="792"/>
      <c r="BR55" s="799"/>
      <c r="BS55" s="792"/>
      <c r="BT55" s="740"/>
      <c r="BU55" s="792"/>
      <c r="BW55" s="793" t="s">
        <v>664</v>
      </c>
      <c r="BX55" s="799"/>
      <c r="BY55" s="792"/>
      <c r="BZ55" s="799"/>
      <c r="CA55" s="792"/>
      <c r="CB55" s="740"/>
      <c r="CC55" s="792"/>
    </row>
    <row r="56" spans="1:81" ht="15" customHeight="1">
      <c r="A56" s="831" t="s">
        <v>104</v>
      </c>
      <c r="B56" s="255"/>
      <c r="C56" s="255"/>
      <c r="D56" s="792"/>
      <c r="I56" s="29"/>
      <c r="K56" s="81"/>
      <c r="L56" s="81"/>
      <c r="O56" s="29"/>
      <c r="P56" s="29"/>
      <c r="Q56" s="29"/>
      <c r="R56" s="749"/>
      <c r="S56" s="29"/>
      <c r="Z56" s="29"/>
      <c r="AD56" s="1588" t="s">
        <v>1052</v>
      </c>
      <c r="AE56" s="1563" t="s">
        <v>725</v>
      </c>
      <c r="AF56" s="829" t="s">
        <v>1246</v>
      </c>
      <c r="AG56" s="830" t="s">
        <v>1251</v>
      </c>
      <c r="AH56" s="830" t="s">
        <v>1252</v>
      </c>
      <c r="AI56" s="749"/>
      <c r="AK56" s="821"/>
      <c r="AL56" s="748"/>
      <c r="AM56" s="748"/>
      <c r="AN56" s="748"/>
      <c r="AO56" s="748"/>
      <c r="AP56" s="808"/>
      <c r="BE56" s="29"/>
      <c r="BF56" s="29"/>
      <c r="BG56" s="29"/>
      <c r="BH56" s="29"/>
      <c r="BI56" s="29"/>
      <c r="BJ56" s="29"/>
      <c r="BK56" s="29"/>
      <c r="BL56" s="29"/>
      <c r="BO56" s="793" t="s">
        <v>50</v>
      </c>
      <c r="BP56" s="799"/>
      <c r="BQ56" s="792"/>
      <c r="BR56" s="799"/>
      <c r="BS56" s="843"/>
      <c r="BT56" s="841"/>
      <c r="BU56" s="792"/>
      <c r="BW56" s="793" t="s">
        <v>50</v>
      </c>
      <c r="BX56" s="799"/>
      <c r="BY56" s="792"/>
      <c r="BZ56" s="799"/>
      <c r="CA56" s="843"/>
      <c r="CB56" s="841"/>
      <c r="CC56" s="792"/>
    </row>
    <row r="57" spans="1:81" ht="15" customHeight="1" thickBot="1">
      <c r="A57" s="853" t="s">
        <v>107</v>
      </c>
      <c r="B57" s="251"/>
      <c r="C57" s="256"/>
      <c r="D57" s="871"/>
      <c r="I57" s="29"/>
      <c r="K57" s="81"/>
      <c r="L57" s="81"/>
      <c r="O57" s="29"/>
      <c r="P57" s="29"/>
      <c r="Q57" s="29"/>
      <c r="R57" s="749"/>
      <c r="S57" s="29"/>
      <c r="Z57" s="29"/>
      <c r="AD57" s="799"/>
      <c r="AE57" s="255"/>
      <c r="AF57" s="208" t="s">
        <v>1253</v>
      </c>
      <c r="AG57" s="883" t="s">
        <v>1253</v>
      </c>
      <c r="AH57" s="883" t="s">
        <v>526</v>
      </c>
      <c r="AI57" s="749"/>
      <c r="AK57" s="836"/>
      <c r="AL57" s="802"/>
      <c r="AM57" s="802"/>
      <c r="AN57" s="802"/>
      <c r="AO57" s="802"/>
      <c r="AP57" s="804"/>
      <c r="BE57" s="29"/>
      <c r="BF57" s="29"/>
      <c r="BG57" s="29"/>
      <c r="BH57" s="29"/>
      <c r="BI57" s="29"/>
      <c r="BJ57" s="29"/>
      <c r="BK57" s="29"/>
      <c r="BL57" s="29"/>
      <c r="BO57" s="833" t="s">
        <v>50</v>
      </c>
      <c r="BP57" s="836"/>
      <c r="BQ57" s="804"/>
      <c r="BR57" s="836"/>
      <c r="BS57" s="844"/>
      <c r="BT57" s="842"/>
      <c r="BU57" s="804"/>
      <c r="BW57" s="833" t="s">
        <v>50</v>
      </c>
      <c r="BX57" s="836"/>
      <c r="BY57" s="804"/>
      <c r="BZ57" s="836"/>
      <c r="CA57" s="844"/>
      <c r="CB57" s="842"/>
      <c r="CC57" s="804"/>
    </row>
    <row r="58" spans="1:64" ht="15" customHeight="1" thickBot="1">
      <c r="A58" s="854" t="s">
        <v>109</v>
      </c>
      <c r="B58" s="251"/>
      <c r="C58" s="251"/>
      <c r="D58" s="871"/>
      <c r="I58" s="29"/>
      <c r="K58" s="81"/>
      <c r="L58" s="81"/>
      <c r="O58" s="29"/>
      <c r="P58" s="29"/>
      <c r="Q58" s="29"/>
      <c r="R58" s="749"/>
      <c r="S58" s="29"/>
      <c r="AD58" s="831" t="s">
        <v>1059</v>
      </c>
      <c r="AE58" s="255"/>
      <c r="AF58" s="255"/>
      <c r="AG58" s="792"/>
      <c r="AH58" s="792"/>
      <c r="AI58" s="749"/>
      <c r="BE58" s="29"/>
      <c r="BF58" s="29"/>
      <c r="BG58" s="29"/>
      <c r="BH58" s="29"/>
      <c r="BI58" s="29"/>
      <c r="BJ58" s="29"/>
      <c r="BK58" s="29"/>
      <c r="BL58" s="29"/>
    </row>
    <row r="59" spans="1:64" ht="15" customHeight="1" thickBot="1">
      <c r="A59" s="854" t="s">
        <v>111</v>
      </c>
      <c r="B59" s="251"/>
      <c r="C59" s="251"/>
      <c r="D59" s="871"/>
      <c r="I59" s="29"/>
      <c r="K59" s="81"/>
      <c r="L59" s="81"/>
      <c r="O59" s="29"/>
      <c r="P59" s="29"/>
      <c r="Q59" s="29"/>
      <c r="R59" s="749"/>
      <c r="S59" s="29"/>
      <c r="Z59" s="29"/>
      <c r="AD59" s="854" t="s">
        <v>1060</v>
      </c>
      <c r="AE59" s="255"/>
      <c r="AF59" s="255"/>
      <c r="AG59" s="792"/>
      <c r="AH59" s="792"/>
      <c r="AI59" s="749"/>
      <c r="AK59" s="1617" t="s">
        <v>1107</v>
      </c>
      <c r="AL59" s="1593"/>
      <c r="AM59" s="1593"/>
      <c r="AN59" s="1593"/>
      <c r="AO59" s="1594"/>
      <c r="BE59" s="29"/>
      <c r="BF59" s="29"/>
      <c r="BG59" s="29"/>
      <c r="BH59" s="29"/>
      <c r="BI59" s="29"/>
      <c r="BJ59" s="29"/>
      <c r="BK59" s="29"/>
      <c r="BL59" s="29"/>
    </row>
    <row r="60" spans="1:57" ht="15" customHeight="1" thickBot="1">
      <c r="A60" s="854" t="s">
        <v>112</v>
      </c>
      <c r="B60" s="251"/>
      <c r="C60" s="251"/>
      <c r="D60" s="871"/>
      <c r="I60" s="29"/>
      <c r="K60" s="81"/>
      <c r="L60" s="81"/>
      <c r="O60" s="29"/>
      <c r="P60" s="29"/>
      <c r="Q60" s="29"/>
      <c r="R60" s="29"/>
      <c r="S60" s="29"/>
      <c r="V60" s="812" t="s">
        <v>330</v>
      </c>
      <c r="W60" s="813"/>
      <c r="X60" s="813"/>
      <c r="Y60" s="814"/>
      <c r="Z60" s="29"/>
      <c r="AD60" s="886" t="s">
        <v>1063</v>
      </c>
      <c r="AE60" s="255"/>
      <c r="AF60" s="255"/>
      <c r="AG60" s="792"/>
      <c r="AH60" s="792"/>
      <c r="AI60" s="749"/>
      <c r="AK60" s="1615"/>
      <c r="AL60" s="1604" t="s">
        <v>306</v>
      </c>
      <c r="AM60" s="1604"/>
      <c r="AN60" s="1605" t="s">
        <v>307</v>
      </c>
      <c r="AO60" s="1616"/>
      <c r="BE60" s="29"/>
    </row>
    <row r="61" spans="1:57" ht="15" customHeight="1">
      <c r="A61" s="854" t="s">
        <v>113</v>
      </c>
      <c r="B61" s="251"/>
      <c r="C61" s="251"/>
      <c r="D61" s="871"/>
      <c r="I61" s="29"/>
      <c r="K61" s="81"/>
      <c r="L61" s="81"/>
      <c r="O61" s="29"/>
      <c r="P61" s="29"/>
      <c r="Q61" s="29"/>
      <c r="R61" s="29"/>
      <c r="S61" s="29"/>
      <c r="V61" s="815" t="str">
        <f>+'II. Datos  Ganaderos'!B37</f>
        <v>Raza/s de ganado</v>
      </c>
      <c r="W61" s="816"/>
      <c r="X61" s="817"/>
      <c r="Y61" s="818"/>
      <c r="Z61" s="29"/>
      <c r="AD61" s="854" t="s">
        <v>1068</v>
      </c>
      <c r="AE61" s="255"/>
      <c r="AF61" s="255"/>
      <c r="AG61" s="792"/>
      <c r="AH61" s="792"/>
      <c r="AI61" s="749"/>
      <c r="AK61" s="852" t="s">
        <v>311</v>
      </c>
      <c r="AL61" s="321" t="s">
        <v>313</v>
      </c>
      <c r="AM61" s="1606" t="s">
        <v>314</v>
      </c>
      <c r="AN61" s="321" t="s">
        <v>313</v>
      </c>
      <c r="AO61" s="1609" t="s">
        <v>314</v>
      </c>
      <c r="BE61" s="29"/>
    </row>
    <row r="62" spans="1:57" ht="15" customHeight="1" thickBot="1">
      <c r="A62" s="832" t="s">
        <v>115</v>
      </c>
      <c r="B62" s="802"/>
      <c r="C62" s="802"/>
      <c r="D62" s="804"/>
      <c r="I62" s="29"/>
      <c r="O62" s="29"/>
      <c r="P62" s="29"/>
      <c r="Q62" s="29"/>
      <c r="R62" s="29"/>
      <c r="S62" s="29"/>
      <c r="V62" s="819" t="str">
        <f>+'II. Datos  Ganaderos'!B38</f>
        <v>Mortandad</v>
      </c>
      <c r="W62" s="262"/>
      <c r="X62" s="263"/>
      <c r="Y62" s="820"/>
      <c r="Z62" s="29"/>
      <c r="AD62" s="854" t="s">
        <v>1072</v>
      </c>
      <c r="AE62" s="255"/>
      <c r="AF62" s="255"/>
      <c r="AG62" s="792"/>
      <c r="AH62" s="792"/>
      <c r="AI62" s="749"/>
      <c r="AK62" s="1626" t="s">
        <v>329</v>
      </c>
      <c r="AL62" s="1600"/>
      <c r="AM62" s="1600"/>
      <c r="AN62" s="1600"/>
      <c r="AO62" s="1601"/>
      <c r="BE62" s="29"/>
    </row>
    <row r="63" spans="9:41" ht="15" customHeight="1">
      <c r="I63" s="29"/>
      <c r="V63" s="821"/>
      <c r="W63" s="1572" t="s">
        <v>1140</v>
      </c>
      <c r="X63" s="1572"/>
      <c r="Y63" s="1573" t="s">
        <v>488</v>
      </c>
      <c r="Z63" s="29"/>
      <c r="AD63" s="854" t="s">
        <v>1074</v>
      </c>
      <c r="AE63" s="255"/>
      <c r="AF63" s="255"/>
      <c r="AG63" s="792"/>
      <c r="AH63" s="792"/>
      <c r="AI63" s="749"/>
      <c r="AK63" s="854" t="str">
        <f>+'II. Datos  Ganaderos'!AL6</f>
        <v>     Vaca ordeño</v>
      </c>
      <c r="AL63" s="739"/>
      <c r="AM63" s="743"/>
      <c r="AN63" s="739"/>
      <c r="AO63" s="855"/>
    </row>
    <row r="64" spans="9:41" ht="15" customHeight="1">
      <c r="I64" s="29"/>
      <c r="V64" s="788"/>
      <c r="W64" s="747" t="s">
        <v>582</v>
      </c>
      <c r="X64" s="747" t="s">
        <v>1141</v>
      </c>
      <c r="Y64" s="1550" t="s">
        <v>1142</v>
      </c>
      <c r="AD64" s="854"/>
      <c r="AE64" s="255"/>
      <c r="AF64" s="255"/>
      <c r="AG64" s="792"/>
      <c r="AH64" s="792"/>
      <c r="AI64" s="749"/>
      <c r="AK64" s="854" t="str">
        <f>+'II. Datos  Ganaderos'!AL7</f>
        <v>     Vaca seca</v>
      </c>
      <c r="AL64" s="739"/>
      <c r="AM64" s="743"/>
      <c r="AN64" s="739"/>
      <c r="AO64" s="855"/>
    </row>
    <row r="65" spans="9:41" ht="15" customHeight="1">
      <c r="I65" s="29"/>
      <c r="V65" s="823" t="str">
        <f>+'II. Datos  Ganaderos'!B46</f>
        <v>Novillos</v>
      </c>
      <c r="W65" s="255"/>
      <c r="X65" s="255"/>
      <c r="Y65" s="792"/>
      <c r="Z65" s="29"/>
      <c r="AD65" s="854" t="s">
        <v>1079</v>
      </c>
      <c r="AE65" s="255"/>
      <c r="AF65" s="255"/>
      <c r="AG65" s="792"/>
      <c r="AH65" s="792"/>
      <c r="AI65" s="1582"/>
      <c r="AK65" s="854" t="str">
        <f>+'II. Datos  Ganaderos'!AL8</f>
        <v>     Vaquillonas preñadas</v>
      </c>
      <c r="AL65" s="739"/>
      <c r="AM65" s="743"/>
      <c r="AN65" s="739"/>
      <c r="AO65" s="855"/>
    </row>
    <row r="66" spans="9:41" ht="15" customHeight="1" thickBot="1">
      <c r="I66" s="29"/>
      <c r="V66" s="823" t="str">
        <f>+'II. Datos  Ganaderos'!B47</f>
        <v>Vaquillonas</v>
      </c>
      <c r="W66" s="255"/>
      <c r="X66" s="255"/>
      <c r="Y66" s="792"/>
      <c r="AD66" s="836"/>
      <c r="AE66" s="802"/>
      <c r="AF66" s="802"/>
      <c r="AG66" s="804"/>
      <c r="AH66" s="804"/>
      <c r="AI66" s="98"/>
      <c r="AK66" s="854" t="str">
        <f>+'II. Datos  Ganaderos'!AL9</f>
        <v>     Vaquillonas en servicio</v>
      </c>
      <c r="AL66" s="739"/>
      <c r="AM66" s="743"/>
      <c r="AN66" s="739"/>
      <c r="AO66" s="855"/>
    </row>
    <row r="67" spans="9:41" ht="15" customHeight="1" thickBot="1">
      <c r="I67" s="29"/>
      <c r="V67" s="824" t="str">
        <f>+'II. Datos  Ganaderos'!B48</f>
        <v>Vacas</v>
      </c>
      <c r="W67" s="802"/>
      <c r="X67" s="802"/>
      <c r="Y67" s="804"/>
      <c r="AD67" s="21" t="s">
        <v>1268</v>
      </c>
      <c r="AH67" s="1639" t="s">
        <v>1267</v>
      </c>
      <c r="AI67" s="749"/>
      <c r="AK67" s="854" t="str">
        <f>+'II. Datos  Ganaderos'!AL10</f>
        <v>     Vaquillonas sin servicio</v>
      </c>
      <c r="AL67" s="739"/>
      <c r="AM67" s="743"/>
      <c r="AN67" s="739"/>
      <c r="AO67" s="855"/>
    </row>
    <row r="68" spans="9:41" ht="15" customHeight="1">
      <c r="I68" s="29"/>
      <c r="V68" s="827" t="s">
        <v>1134</v>
      </c>
      <c r="W68" s="769"/>
      <c r="X68" s="770" t="s">
        <v>7</v>
      </c>
      <c r="Y68" s="753"/>
      <c r="AD68" s="749"/>
      <c r="AE68" s="749"/>
      <c r="AF68" s="749"/>
      <c r="AG68" s="749"/>
      <c r="AH68" s="749"/>
      <c r="AI68" s="749"/>
      <c r="AK68" s="854" t="str">
        <f>+'II. Datos  Ganaderos'!AL11</f>
        <v>     Terneras &lt; 1 año</v>
      </c>
      <c r="AL68" s="739"/>
      <c r="AM68" s="743"/>
      <c r="AN68" s="739"/>
      <c r="AO68" s="855"/>
    </row>
    <row r="69" spans="9:41" ht="15" customHeight="1" thickBot="1">
      <c r="I69" s="29"/>
      <c r="V69" s="825" t="s">
        <v>1137</v>
      </c>
      <c r="W69" s="826"/>
      <c r="X69" s="828" t="s">
        <v>419</v>
      </c>
      <c r="Y69" s="804"/>
      <c r="AD69" s="749"/>
      <c r="AE69" s="749"/>
      <c r="AF69" s="749"/>
      <c r="AG69" s="749"/>
      <c r="AH69" s="749"/>
      <c r="AI69" s="749"/>
      <c r="AK69" s="854" t="str">
        <f>+'II. Datos  Ganaderos'!AL12</f>
        <v>     Terneros &lt; 1 año</v>
      </c>
      <c r="AL69" s="739"/>
      <c r="AM69" s="743"/>
      <c r="AN69" s="739"/>
      <c r="AO69" s="855"/>
    </row>
    <row r="70" spans="9:41" ht="15" customHeight="1">
      <c r="I70" s="29"/>
      <c r="AD70" s="749"/>
      <c r="AE70" s="749"/>
      <c r="AF70" s="749"/>
      <c r="AG70" s="749"/>
      <c r="AH70" s="749"/>
      <c r="AI70" s="749"/>
      <c r="AK70" s="854" t="str">
        <f>+'II. Datos  Ganaderos'!AL13</f>
        <v>     Equinos</v>
      </c>
      <c r="AL70" s="739"/>
      <c r="AM70" s="743"/>
      <c r="AN70" s="739"/>
      <c r="AO70" s="855"/>
    </row>
    <row r="71" spans="30:41" ht="15" customHeight="1">
      <c r="AD71" s="1583"/>
      <c r="AE71" s="749"/>
      <c r="AF71" s="749"/>
      <c r="AG71" s="749"/>
      <c r="AH71" s="749"/>
      <c r="AI71" s="749"/>
      <c r="AK71" s="834" t="str">
        <f>+'II. Datos  Ganaderos'!AL14</f>
        <v>     Toros</v>
      </c>
      <c r="AL71" s="1487"/>
      <c r="AM71" s="1488"/>
      <c r="AN71" s="1487"/>
      <c r="AO71" s="1610"/>
    </row>
    <row r="72" spans="30:41" ht="15" customHeight="1">
      <c r="AD72" s="122"/>
      <c r="AE72" s="1576"/>
      <c r="AF72" s="1576"/>
      <c r="AG72" s="1576"/>
      <c r="AH72" s="749"/>
      <c r="AI72" s="749"/>
      <c r="AK72" s="1611"/>
      <c r="AL72" s="1602"/>
      <c r="AM72" s="1602"/>
      <c r="AN72" s="1602"/>
      <c r="AO72" s="1603"/>
    </row>
    <row r="73" spans="30:41" ht="15" customHeight="1">
      <c r="AD73" s="1574"/>
      <c r="AE73" s="749"/>
      <c r="AF73" s="1574"/>
      <c r="AG73" s="749"/>
      <c r="AH73" s="749"/>
      <c r="AI73" s="1577"/>
      <c r="AK73" s="1627" t="s">
        <v>1122</v>
      </c>
      <c r="AL73" s="1607"/>
      <c r="AM73" s="1608"/>
      <c r="AN73" s="1608"/>
      <c r="AO73" s="1612"/>
    </row>
    <row r="74" spans="30:41" ht="15" customHeight="1">
      <c r="AD74" s="1574"/>
      <c r="AE74" s="749"/>
      <c r="AF74" s="122"/>
      <c r="AG74" s="749"/>
      <c r="AH74" s="1577"/>
      <c r="AI74" s="749"/>
      <c r="AK74" s="854" t="str">
        <f>+'II. Datos  Ganaderos'!AL17</f>
        <v>Novillos</v>
      </c>
      <c r="AL74" s="739"/>
      <c r="AM74" s="739"/>
      <c r="AN74" s="739"/>
      <c r="AO74" s="856"/>
    </row>
    <row r="75" spans="30:41" ht="15" customHeight="1">
      <c r="AD75" s="1574"/>
      <c r="AE75" s="749"/>
      <c r="AF75" s="1575"/>
      <c r="AG75" s="749"/>
      <c r="AH75" s="749"/>
      <c r="AI75" s="749"/>
      <c r="AK75" s="854"/>
      <c r="AL75" s="739"/>
      <c r="AM75" s="739"/>
      <c r="AN75" s="739"/>
      <c r="AO75" s="856"/>
    </row>
    <row r="76" spans="30:41" ht="15" customHeight="1">
      <c r="AD76" s="1574"/>
      <c r="AE76" s="749"/>
      <c r="AF76" s="122"/>
      <c r="AG76" s="749"/>
      <c r="AH76" s="749"/>
      <c r="AI76" s="749"/>
      <c r="AK76" s="854"/>
      <c r="AL76" s="739"/>
      <c r="AM76" s="739"/>
      <c r="AN76" s="739"/>
      <c r="AO76" s="856"/>
    </row>
    <row r="77" spans="30:41" ht="15" customHeight="1">
      <c r="AD77" s="749"/>
      <c r="AE77" s="1576"/>
      <c r="AF77" s="122"/>
      <c r="AG77" s="749"/>
      <c r="AH77" s="749"/>
      <c r="AI77" s="749"/>
      <c r="AK77" s="854" t="str">
        <f>+'II. Datos  Ganaderos'!AL18</f>
        <v>Novillitos</v>
      </c>
      <c r="AL77" s="739"/>
      <c r="AM77" s="739"/>
      <c r="AN77" s="739"/>
      <c r="AO77" s="856"/>
    </row>
    <row r="78" spans="30:41" ht="12.75">
      <c r="AD78" s="1574"/>
      <c r="AE78" s="749"/>
      <c r="AF78" s="122"/>
      <c r="AG78" s="749"/>
      <c r="AH78" s="749"/>
      <c r="AI78" s="749"/>
      <c r="AK78" s="854" t="str">
        <f>+'II. Datos  Ganaderos'!AL19</f>
        <v>Terneros</v>
      </c>
      <c r="AL78" s="739"/>
      <c r="AM78" s="739"/>
      <c r="AN78" s="739"/>
      <c r="AO78" s="856"/>
    </row>
    <row r="79" spans="30:41" ht="12.75">
      <c r="AD79" s="1574"/>
      <c r="AE79" s="749"/>
      <c r="AF79" s="122"/>
      <c r="AG79" s="749"/>
      <c r="AH79" s="749"/>
      <c r="AI79" s="749"/>
      <c r="AK79" s="854" t="str">
        <f>+'II. Datos  Ganaderos'!AL20</f>
        <v>Vaquillonas</v>
      </c>
      <c r="AL79" s="739"/>
      <c r="AM79" s="739"/>
      <c r="AN79" s="739"/>
      <c r="AO79" s="856"/>
    </row>
    <row r="80" spans="30:41" ht="12.75">
      <c r="AD80" s="1574"/>
      <c r="AE80" s="749"/>
      <c r="AF80" s="122"/>
      <c r="AG80" s="749"/>
      <c r="AH80" s="749"/>
      <c r="AI80" s="749"/>
      <c r="AK80" s="854" t="str">
        <f>+'II. Datos  Ganaderos'!AL21</f>
        <v>Vacas</v>
      </c>
      <c r="AL80" s="739"/>
      <c r="AM80" s="739"/>
      <c r="AN80" s="739"/>
      <c r="AO80" s="856"/>
    </row>
    <row r="81" spans="30:41" ht="12.75">
      <c r="AD81" s="1574"/>
      <c r="AE81" s="749"/>
      <c r="AF81" s="749"/>
      <c r="AG81" s="749"/>
      <c r="AH81" s="749"/>
      <c r="AI81" s="749"/>
      <c r="AK81" s="854" t="s">
        <v>426</v>
      </c>
      <c r="AL81" s="739"/>
      <c r="AM81" s="739"/>
      <c r="AN81" s="739"/>
      <c r="AO81" s="856"/>
    </row>
    <row r="82" spans="30:41" ht="12.75">
      <c r="AD82" s="122"/>
      <c r="AE82" s="749"/>
      <c r="AF82" s="749"/>
      <c r="AG82" s="749"/>
      <c r="AH82" s="749"/>
      <c r="AI82" s="1576"/>
      <c r="AK82" s="1613"/>
      <c r="AL82" s="1178"/>
      <c r="AM82" s="1178"/>
      <c r="AN82" s="1178"/>
      <c r="AO82" s="896"/>
    </row>
    <row r="83" spans="30:41" ht="12.75">
      <c r="AD83" s="749"/>
      <c r="AE83" s="1576"/>
      <c r="AF83" s="1576"/>
      <c r="AG83" s="1576"/>
      <c r="AH83" s="1576"/>
      <c r="AI83" s="1580"/>
      <c r="AK83" s="1628" t="s">
        <v>1132</v>
      </c>
      <c r="AL83" s="1553"/>
      <c r="AM83" s="1553"/>
      <c r="AN83" s="1553"/>
      <c r="AO83" s="1554"/>
    </row>
    <row r="84" spans="30:41" ht="12.75">
      <c r="AD84" s="1578"/>
      <c r="AE84" s="1579"/>
      <c r="AF84" s="1579"/>
      <c r="AG84" s="1580"/>
      <c r="AH84" s="1580"/>
      <c r="AI84" s="749"/>
      <c r="AK84" s="799"/>
      <c r="AL84" s="80" t="s">
        <v>313</v>
      </c>
      <c r="AM84" s="249" t="s">
        <v>314</v>
      </c>
      <c r="AN84" s="80" t="s">
        <v>313</v>
      </c>
      <c r="AO84" s="1614" t="s">
        <v>314</v>
      </c>
    </row>
    <row r="85" spans="30:41" ht="12.75">
      <c r="AD85" s="749"/>
      <c r="AE85" s="749"/>
      <c r="AF85" s="749"/>
      <c r="AG85" s="749"/>
      <c r="AH85" s="749"/>
      <c r="AI85" s="749"/>
      <c r="AK85" s="831" t="s">
        <v>1136</v>
      </c>
      <c r="AL85" s="739"/>
      <c r="AM85" s="739"/>
      <c r="AN85" s="739"/>
      <c r="AO85" s="856"/>
    </row>
    <row r="86" spans="30:41" ht="12.75">
      <c r="AD86" s="749"/>
      <c r="AE86" s="749"/>
      <c r="AF86" s="749"/>
      <c r="AG86" s="749"/>
      <c r="AH86" s="749"/>
      <c r="AI86" s="749"/>
      <c r="AK86" s="854" t="s">
        <v>1138</v>
      </c>
      <c r="AL86" s="739"/>
      <c r="AM86" s="739"/>
      <c r="AN86" s="739"/>
      <c r="AO86" s="856"/>
    </row>
    <row r="87" spans="30:41" ht="13.5" thickBot="1">
      <c r="AD87" s="749"/>
      <c r="AE87" s="749"/>
      <c r="AF87" s="749"/>
      <c r="AG87" s="749"/>
      <c r="AH87" s="749"/>
      <c r="AI87" s="749"/>
      <c r="AK87" s="832" t="s">
        <v>1139</v>
      </c>
      <c r="AL87" s="858"/>
      <c r="AM87" s="858"/>
      <c r="AN87" s="859"/>
      <c r="AO87" s="860"/>
    </row>
    <row r="88" spans="30:35" ht="12.75">
      <c r="AD88" s="749"/>
      <c r="AE88" s="749"/>
      <c r="AF88" s="749"/>
      <c r="AG88" s="749"/>
      <c r="AH88" s="749"/>
      <c r="AI88" s="749"/>
    </row>
    <row r="89" spans="30:35" ht="12.75">
      <c r="AD89" s="749"/>
      <c r="AE89" s="749"/>
      <c r="AF89" s="749"/>
      <c r="AG89" s="749"/>
      <c r="AH89" s="749"/>
      <c r="AI89" s="749"/>
    </row>
    <row r="90" spans="30:35" ht="12.75">
      <c r="AD90" s="1581"/>
      <c r="AE90" s="749"/>
      <c r="AF90" s="749"/>
      <c r="AG90" s="749"/>
      <c r="AH90" s="749"/>
      <c r="AI90" s="749"/>
    </row>
    <row r="91" spans="30:35" ht="12.75">
      <c r="AD91" s="749"/>
      <c r="AE91" s="749"/>
      <c r="AF91" s="749"/>
      <c r="AG91" s="749"/>
      <c r="AH91" s="749"/>
      <c r="AI91" s="749"/>
    </row>
    <row r="92" spans="30:35" ht="12.75">
      <c r="AD92" s="749"/>
      <c r="AE92" s="749"/>
      <c r="AF92" s="749"/>
      <c r="AG92" s="749"/>
      <c r="AH92" s="749"/>
      <c r="AI92" s="749"/>
    </row>
    <row r="93" spans="30:35" ht="12.75">
      <c r="AD93" s="749"/>
      <c r="AE93" s="749"/>
      <c r="AF93" s="749"/>
      <c r="AG93" s="749"/>
      <c r="AH93" s="749"/>
      <c r="AI93" s="749"/>
    </row>
    <row r="94" spans="30:35" ht="12.75">
      <c r="AD94" s="749"/>
      <c r="AE94" s="749"/>
      <c r="AF94" s="749"/>
      <c r="AG94" s="749"/>
      <c r="AH94" s="749"/>
      <c r="AI94" s="749"/>
    </row>
    <row r="95" spans="30:35" ht="12.75">
      <c r="AD95" s="749"/>
      <c r="AE95" s="749"/>
      <c r="AF95" s="749"/>
      <c r="AG95" s="749"/>
      <c r="AH95" s="749"/>
      <c r="AI95" s="749"/>
    </row>
    <row r="96" spans="30:35" ht="12.75">
      <c r="AD96" s="749"/>
      <c r="AE96" s="749"/>
      <c r="AF96" s="749"/>
      <c r="AG96" s="749"/>
      <c r="AH96" s="749"/>
      <c r="AI96" s="749"/>
    </row>
    <row r="97" spans="30:35" ht="12.75">
      <c r="AD97" s="749"/>
      <c r="AE97" s="749"/>
      <c r="AF97" s="749"/>
      <c r="AG97" s="749"/>
      <c r="AH97" s="749"/>
      <c r="AI97" s="749"/>
    </row>
    <row r="98" spans="30:35" ht="12.75">
      <c r="AD98" s="749"/>
      <c r="AE98" s="749"/>
      <c r="AF98" s="749"/>
      <c r="AG98" s="749"/>
      <c r="AH98" s="749"/>
      <c r="AI98" s="749"/>
    </row>
    <row r="99" spans="30:35" ht="12.75">
      <c r="AD99" s="749"/>
      <c r="AE99" s="749"/>
      <c r="AF99" s="749"/>
      <c r="AG99" s="749"/>
      <c r="AH99" s="749"/>
      <c r="AI99" s="749"/>
    </row>
    <row r="100" spans="30:35" ht="12.75">
      <c r="AD100" s="749"/>
      <c r="AE100" s="749"/>
      <c r="AF100" s="749"/>
      <c r="AG100" s="749"/>
      <c r="AH100" s="749"/>
      <c r="AI100" s="749"/>
    </row>
    <row r="101" spans="30:35" ht="12.75">
      <c r="AD101" s="749"/>
      <c r="AE101" s="749"/>
      <c r="AF101" s="749"/>
      <c r="AG101" s="749"/>
      <c r="AH101" s="749"/>
      <c r="AI101" s="749"/>
    </row>
    <row r="102" spans="30:35" ht="12.75">
      <c r="AD102" s="749"/>
      <c r="AE102" s="749"/>
      <c r="AF102" s="749"/>
      <c r="AG102" s="749"/>
      <c r="AH102" s="749"/>
      <c r="AI102" s="749"/>
    </row>
    <row r="103" spans="30:35" ht="12.75">
      <c r="AD103" s="749"/>
      <c r="AE103" s="749"/>
      <c r="AF103" s="749"/>
      <c r="AG103" s="749"/>
      <c r="AH103" s="1582"/>
      <c r="AI103" s="1582"/>
    </row>
    <row r="104" spans="30:35" ht="12.75">
      <c r="AD104" s="749"/>
      <c r="AE104" s="749"/>
      <c r="AF104" s="749"/>
      <c r="AG104" s="749"/>
      <c r="AH104" s="98"/>
      <c r="AI104" s="98"/>
    </row>
    <row r="105" spans="30:35" ht="12.75">
      <c r="AD105" s="749"/>
      <c r="AE105" s="1576"/>
      <c r="AF105" s="1576"/>
      <c r="AG105" s="1576"/>
      <c r="AH105" s="1576"/>
      <c r="AI105" s="1576"/>
    </row>
    <row r="106" spans="30:35" ht="12.75">
      <c r="AD106" s="1578"/>
      <c r="AE106" s="1579"/>
      <c r="AF106" s="1579"/>
      <c r="AG106" s="1580"/>
      <c r="AH106" s="1580"/>
      <c r="AI106" s="1580"/>
    </row>
    <row r="107" spans="30:35" ht="12.75">
      <c r="AD107" s="749"/>
      <c r="AE107" s="749"/>
      <c r="AF107" s="749"/>
      <c r="AG107" s="749"/>
      <c r="AH107" s="749"/>
      <c r="AI107" s="749"/>
    </row>
    <row r="108" spans="30:35" ht="12.75">
      <c r="AD108" s="749"/>
      <c r="AE108" s="749"/>
      <c r="AF108" s="749"/>
      <c r="AG108" s="749"/>
      <c r="AH108" s="749"/>
      <c r="AI108" s="749"/>
    </row>
    <row r="109" spans="30:35" ht="12.75">
      <c r="AD109" s="749"/>
      <c r="AE109" s="749"/>
      <c r="AF109" s="749"/>
      <c r="AG109" s="749"/>
      <c r="AH109" s="749"/>
      <c r="AI109" s="749"/>
    </row>
    <row r="110" spans="30:35" ht="12.75">
      <c r="AD110" s="749"/>
      <c r="AE110" s="749"/>
      <c r="AF110" s="749"/>
      <c r="AG110" s="749"/>
      <c r="AH110" s="749"/>
      <c r="AI110" s="749"/>
    </row>
    <row r="111" spans="30:35" ht="12.75">
      <c r="AD111" s="749"/>
      <c r="AE111" s="749"/>
      <c r="AF111" s="749"/>
      <c r="AG111" s="749"/>
      <c r="AH111" s="749"/>
      <c r="AI111" s="749"/>
    </row>
    <row r="112" spans="30:35" ht="12.75">
      <c r="AD112" s="1581"/>
      <c r="AE112" s="749"/>
      <c r="AF112" s="749"/>
      <c r="AG112" s="749"/>
      <c r="AH112" s="749"/>
      <c r="AI112" s="749"/>
    </row>
    <row r="113" spans="30:35" ht="12.75">
      <c r="AD113" s="749"/>
      <c r="AE113" s="749"/>
      <c r="AF113" s="749"/>
      <c r="AG113" s="749"/>
      <c r="AH113" s="749"/>
      <c r="AI113" s="749"/>
    </row>
    <row r="114" spans="30:35" ht="12.75">
      <c r="AD114" s="749"/>
      <c r="AE114" s="749"/>
      <c r="AF114" s="749"/>
      <c r="AG114" s="749"/>
      <c r="AH114" s="749"/>
      <c r="AI114" s="749"/>
    </row>
    <row r="115" spans="30:35" ht="12.75">
      <c r="AD115" s="749"/>
      <c r="AE115" s="749"/>
      <c r="AF115" s="749"/>
      <c r="AG115" s="749"/>
      <c r="AH115" s="749"/>
      <c r="AI115" s="749"/>
    </row>
    <row r="116" spans="30:35" ht="12.75">
      <c r="AD116" s="749"/>
      <c r="AE116" s="749"/>
      <c r="AF116" s="749"/>
      <c r="AG116" s="749"/>
      <c r="AH116" s="749"/>
      <c r="AI116" s="749"/>
    </row>
    <row r="117" spans="30:35" ht="12.75">
      <c r="AD117" s="749"/>
      <c r="AE117" s="749"/>
      <c r="AF117" s="749"/>
      <c r="AG117" s="749"/>
      <c r="AH117" s="749"/>
      <c r="AI117" s="749"/>
    </row>
    <row r="118" spans="30:35" ht="12.75">
      <c r="AD118" s="749"/>
      <c r="AE118" s="749"/>
      <c r="AF118" s="749"/>
      <c r="AG118" s="749"/>
      <c r="AH118" s="749"/>
      <c r="AI118" s="749"/>
    </row>
    <row r="119" spans="30:35" ht="12.75">
      <c r="AD119" s="749"/>
      <c r="AE119" s="749"/>
      <c r="AF119" s="749"/>
      <c r="AG119" s="749"/>
      <c r="AH119" s="749"/>
      <c r="AI119" s="749"/>
    </row>
    <row r="120" spans="30:35" ht="12.75">
      <c r="AD120" s="749"/>
      <c r="AE120" s="749"/>
      <c r="AF120" s="749"/>
      <c r="AG120" s="749"/>
      <c r="AH120" s="749"/>
      <c r="AI120" s="749"/>
    </row>
    <row r="121" spans="30:35" ht="12.75">
      <c r="AD121" s="749"/>
      <c r="AE121" s="749"/>
      <c r="AF121" s="749"/>
      <c r="AG121" s="749"/>
      <c r="AH121" s="749"/>
      <c r="AI121" s="749"/>
    </row>
    <row r="122" spans="30:35" ht="12.75">
      <c r="AD122" s="749"/>
      <c r="AE122" s="749"/>
      <c r="AF122" s="749"/>
      <c r="AG122" s="749"/>
      <c r="AH122" s="749"/>
      <c r="AI122" s="749"/>
    </row>
    <row r="123" spans="30:35" ht="12.75">
      <c r="AD123" s="749"/>
      <c r="AE123" s="749"/>
      <c r="AF123" s="749"/>
      <c r="AG123" s="749"/>
      <c r="AH123" s="749"/>
      <c r="AI123" s="749"/>
    </row>
    <row r="124" spans="30:35" ht="12.75">
      <c r="AD124" s="749"/>
      <c r="AE124" s="749"/>
      <c r="AF124" s="749"/>
      <c r="AG124" s="749"/>
      <c r="AH124" s="749"/>
      <c r="AI124" s="749"/>
    </row>
    <row r="125" spans="30:35" ht="12.75">
      <c r="AD125" s="749"/>
      <c r="AE125" s="749"/>
      <c r="AF125" s="749"/>
      <c r="AG125" s="749"/>
      <c r="AH125" s="749"/>
      <c r="AI125" s="749"/>
    </row>
    <row r="126" spans="30:35" ht="12.75">
      <c r="AD126" s="749"/>
      <c r="AE126" s="749"/>
      <c r="AF126" s="749"/>
      <c r="AG126" s="749"/>
      <c r="AH126" s="1582"/>
      <c r="AI126" s="1582"/>
    </row>
    <row r="127" spans="30:35" ht="12.75">
      <c r="AD127" s="749"/>
      <c r="AE127" s="749"/>
      <c r="AF127" s="749"/>
      <c r="AG127" s="749"/>
      <c r="AH127" s="98"/>
      <c r="AI127" s="98"/>
    </row>
    <row r="128" spans="30:35" ht="12.75">
      <c r="AD128" s="749"/>
      <c r="AE128" s="749"/>
      <c r="AF128" s="749"/>
      <c r="AG128" s="749"/>
      <c r="AH128" s="749"/>
      <c r="AI128" s="749"/>
    </row>
    <row r="129" spans="30:35" ht="12.75">
      <c r="AD129" s="749"/>
      <c r="AE129" s="749"/>
      <c r="AF129" s="749"/>
      <c r="AG129" s="749"/>
      <c r="AH129" s="749"/>
      <c r="AI129" s="749"/>
    </row>
    <row r="130" spans="30:35" ht="12.75">
      <c r="AD130" s="749"/>
      <c r="AE130" s="749"/>
      <c r="AF130" s="749"/>
      <c r="AG130" s="749"/>
      <c r="AH130" s="749"/>
      <c r="AI130" s="749"/>
    </row>
    <row r="131" spans="30:35" ht="12.75">
      <c r="AD131" s="749"/>
      <c r="AE131" s="749"/>
      <c r="AF131" s="749"/>
      <c r="AG131" s="749"/>
      <c r="AH131" s="749"/>
      <c r="AI131" s="749"/>
    </row>
    <row r="132" spans="30:35" ht="12.75">
      <c r="AD132" s="749"/>
      <c r="AE132" s="749"/>
      <c r="AF132" s="749"/>
      <c r="AG132" s="749"/>
      <c r="AH132" s="749"/>
      <c r="AI132" s="749"/>
    </row>
    <row r="133" spans="30:35" ht="12.75">
      <c r="AD133" s="749"/>
      <c r="AE133" s="749"/>
      <c r="AF133" s="749"/>
      <c r="AG133" s="749"/>
      <c r="AH133" s="749"/>
      <c r="AI133" s="749"/>
    </row>
    <row r="134" spans="30:35" ht="12.75">
      <c r="AD134" s="749"/>
      <c r="AE134" s="749"/>
      <c r="AF134" s="749"/>
      <c r="AG134" s="749"/>
      <c r="AH134" s="749"/>
      <c r="AI134" s="749"/>
    </row>
    <row r="135" spans="30:42" ht="12.75">
      <c r="AD135" s="749"/>
      <c r="AE135" s="749"/>
      <c r="AF135" s="749"/>
      <c r="AG135" s="749"/>
      <c r="AH135" s="749"/>
      <c r="AI135" s="749"/>
      <c r="AP135" s="851"/>
    </row>
    <row r="136" spans="30:42" ht="12.75">
      <c r="AD136" s="749"/>
      <c r="AE136" s="749"/>
      <c r="AF136" s="749"/>
      <c r="AG136" s="749"/>
      <c r="AH136" s="749"/>
      <c r="AI136" s="749"/>
      <c r="AP136" s="29"/>
    </row>
    <row r="137" spans="30:42" ht="12.75">
      <c r="AD137" s="749"/>
      <c r="AE137" s="749"/>
      <c r="AF137" s="749"/>
      <c r="AG137" s="749"/>
      <c r="AH137" s="749"/>
      <c r="AI137" s="749"/>
      <c r="AP137" s="29"/>
    </row>
    <row r="138" spans="30:42" ht="12.75">
      <c r="AD138" s="749"/>
      <c r="AE138" s="749"/>
      <c r="AF138" s="749"/>
      <c r="AG138" s="749"/>
      <c r="AH138" s="749"/>
      <c r="AI138" s="749"/>
      <c r="AP138" s="29"/>
    </row>
    <row r="139" spans="30:42" ht="12.75">
      <c r="AD139" s="749"/>
      <c r="AE139" s="749"/>
      <c r="AF139" s="749"/>
      <c r="AG139" s="749"/>
      <c r="AH139" s="749"/>
      <c r="AI139" s="749"/>
      <c r="AP139" s="29"/>
    </row>
    <row r="140" spans="30:42" ht="12.75">
      <c r="AD140" s="749"/>
      <c r="AE140" s="749"/>
      <c r="AF140" s="749"/>
      <c r="AG140" s="749"/>
      <c r="AH140" s="749"/>
      <c r="AI140" s="749"/>
      <c r="AP140" s="29"/>
    </row>
    <row r="141" spans="30:42" ht="12.75">
      <c r="AD141" s="749"/>
      <c r="AE141" s="749"/>
      <c r="AF141" s="749"/>
      <c r="AG141" s="749"/>
      <c r="AH141" s="749"/>
      <c r="AI141" s="749"/>
      <c r="AP141" s="29"/>
    </row>
    <row r="142" spans="30:42" ht="12.75">
      <c r="AD142" s="749"/>
      <c r="AE142" s="749"/>
      <c r="AF142" s="749"/>
      <c r="AG142" s="749"/>
      <c r="AH142" s="749"/>
      <c r="AI142" s="749"/>
      <c r="AP142" s="29"/>
    </row>
    <row r="143" spans="30:35" ht="12.75">
      <c r="AD143" s="749"/>
      <c r="AE143" s="749"/>
      <c r="AF143" s="749"/>
      <c r="AG143" s="749"/>
      <c r="AH143" s="749"/>
      <c r="AI143" s="749"/>
    </row>
    <row r="144" spans="30:35" ht="12.75">
      <c r="AD144" s="749"/>
      <c r="AE144" s="749"/>
      <c r="AF144" s="749"/>
      <c r="AG144" s="749"/>
      <c r="AH144" s="749"/>
      <c r="AI144" s="749"/>
    </row>
    <row r="145" spans="30:35" ht="12.75">
      <c r="AD145" s="749"/>
      <c r="AE145" s="749"/>
      <c r="AF145" s="749"/>
      <c r="AG145" s="749"/>
      <c r="AH145" s="749"/>
      <c r="AI145" s="749"/>
    </row>
    <row r="146" spans="30:35" ht="12.75">
      <c r="AD146" s="749"/>
      <c r="AE146" s="749"/>
      <c r="AF146" s="749"/>
      <c r="AG146" s="749"/>
      <c r="AH146" s="749"/>
      <c r="AI146" s="749"/>
    </row>
    <row r="147" spans="30:35" ht="12.75">
      <c r="AD147" s="749"/>
      <c r="AE147" s="749"/>
      <c r="AF147" s="749"/>
      <c r="AG147" s="749"/>
      <c r="AH147" s="749"/>
      <c r="AI147" s="749"/>
    </row>
    <row r="148" spans="30:35" ht="12.75">
      <c r="AD148" s="749"/>
      <c r="AE148" s="749"/>
      <c r="AF148" s="749"/>
      <c r="AG148" s="749"/>
      <c r="AH148" s="749"/>
      <c r="AI148" s="749"/>
    </row>
    <row r="149" spans="30:35" ht="12.75">
      <c r="AD149" s="749"/>
      <c r="AE149" s="749"/>
      <c r="AF149" s="749"/>
      <c r="AG149" s="749"/>
      <c r="AH149" s="749"/>
      <c r="AI149" s="749"/>
    </row>
    <row r="150" spans="30:35" ht="12.75">
      <c r="AD150" s="749"/>
      <c r="AE150" s="749"/>
      <c r="AF150" s="749"/>
      <c r="AG150" s="749"/>
      <c r="AH150" s="749"/>
      <c r="AI150" s="749"/>
    </row>
    <row r="151" spans="30:35" ht="12.75">
      <c r="AD151" s="749"/>
      <c r="AE151" s="749"/>
      <c r="AF151" s="749"/>
      <c r="AG151" s="749"/>
      <c r="AH151" s="749"/>
      <c r="AI151" s="749"/>
    </row>
    <row r="152" spans="30:35" ht="12.75">
      <c r="AD152" s="749"/>
      <c r="AE152" s="749"/>
      <c r="AF152" s="749"/>
      <c r="AG152" s="749"/>
      <c r="AH152" s="749"/>
      <c r="AI152" s="749"/>
    </row>
    <row r="153" spans="30:35" ht="12.75">
      <c r="AD153" s="749"/>
      <c r="AE153" s="749"/>
      <c r="AF153" s="749"/>
      <c r="AG153" s="749"/>
      <c r="AH153" s="749"/>
      <c r="AI153" s="749"/>
    </row>
    <row r="154" spans="30:35" ht="12.75">
      <c r="AD154" s="749"/>
      <c r="AE154" s="749"/>
      <c r="AF154" s="749"/>
      <c r="AG154" s="749"/>
      <c r="AH154" s="749"/>
      <c r="AI154" s="749"/>
    </row>
    <row r="155" spans="30:35" ht="12.75">
      <c r="AD155" s="749"/>
      <c r="AE155" s="749"/>
      <c r="AF155" s="749"/>
      <c r="AG155" s="749"/>
      <c r="AH155" s="749"/>
      <c r="AI155" s="749"/>
    </row>
    <row r="156" spans="30:35" ht="12.75">
      <c r="AD156" s="749"/>
      <c r="AE156" s="749"/>
      <c r="AF156" s="749"/>
      <c r="AG156" s="749"/>
      <c r="AH156" s="749"/>
      <c r="AI156" s="749"/>
    </row>
    <row r="157" spans="30:35" ht="12.75">
      <c r="AD157" s="749"/>
      <c r="AE157" s="749"/>
      <c r="AF157" s="749"/>
      <c r="AG157" s="749"/>
      <c r="AH157" s="749"/>
      <c r="AI157" s="749"/>
    </row>
    <row r="158" spans="30:35" ht="12.75">
      <c r="AD158" s="749"/>
      <c r="AE158" s="749"/>
      <c r="AF158" s="749"/>
      <c r="AG158" s="749"/>
      <c r="AH158" s="749"/>
      <c r="AI158" s="749"/>
    </row>
    <row r="159" spans="30:35" ht="12.75">
      <c r="AD159" s="749"/>
      <c r="AE159" s="749"/>
      <c r="AF159" s="749"/>
      <c r="AG159" s="749"/>
      <c r="AH159" s="749"/>
      <c r="AI159" s="749"/>
    </row>
    <row r="160" spans="30:35" ht="12.75">
      <c r="AD160" s="749"/>
      <c r="AE160" s="749"/>
      <c r="AF160" s="749"/>
      <c r="AG160" s="749"/>
      <c r="AH160" s="749"/>
      <c r="AI160" s="749"/>
    </row>
    <row r="161" spans="30:35" ht="12.75">
      <c r="AD161" s="749"/>
      <c r="AE161" s="749"/>
      <c r="AF161" s="749"/>
      <c r="AG161" s="749"/>
      <c r="AH161" s="749"/>
      <c r="AI161" s="749"/>
    </row>
    <row r="162" spans="30:35" ht="12.75">
      <c r="AD162" s="749"/>
      <c r="AE162" s="749"/>
      <c r="AF162" s="749"/>
      <c r="AG162" s="749"/>
      <c r="AH162" s="749"/>
      <c r="AI162" s="749"/>
    </row>
    <row r="163" spans="30:35" ht="12.75">
      <c r="AD163" s="749"/>
      <c r="AE163" s="749"/>
      <c r="AF163" s="749"/>
      <c r="AG163" s="749"/>
      <c r="AH163" s="749"/>
      <c r="AI163" s="749"/>
    </row>
    <row r="164" spans="30:35" ht="12.75">
      <c r="AD164" s="749"/>
      <c r="AE164" s="749"/>
      <c r="AF164" s="749"/>
      <c r="AG164" s="749"/>
      <c r="AH164" s="749"/>
      <c r="AI164" s="749"/>
    </row>
    <row r="165" spans="30:35" ht="12.75">
      <c r="AD165" s="749"/>
      <c r="AE165" s="749"/>
      <c r="AF165" s="749"/>
      <c r="AG165" s="749"/>
      <c r="AH165" s="749"/>
      <c r="AI165" s="749"/>
    </row>
    <row r="166" spans="30:35" ht="12.75">
      <c r="AD166" s="749"/>
      <c r="AE166" s="749"/>
      <c r="AF166" s="749"/>
      <c r="AG166" s="749"/>
      <c r="AH166" s="749"/>
      <c r="AI166" s="749"/>
    </row>
    <row r="167" spans="30:35" ht="12.75">
      <c r="AD167" s="749"/>
      <c r="AE167" s="749"/>
      <c r="AF167" s="749"/>
      <c r="AG167" s="749"/>
      <c r="AH167" s="749"/>
      <c r="AI167" s="749"/>
    </row>
    <row r="168" spans="30:35" ht="12.75">
      <c r="AD168" s="749"/>
      <c r="AE168" s="749"/>
      <c r="AF168" s="749"/>
      <c r="AG168" s="749"/>
      <c r="AH168" s="749"/>
      <c r="AI168" s="749"/>
    </row>
    <row r="169" spans="30:35" ht="12.75">
      <c r="AD169" s="749"/>
      <c r="AE169" s="749"/>
      <c r="AF169" s="749"/>
      <c r="AG169" s="749"/>
      <c r="AH169" s="749"/>
      <c r="AI169" s="749"/>
    </row>
    <row r="170" spans="30:35" ht="12.75">
      <c r="AD170" s="749"/>
      <c r="AE170" s="749"/>
      <c r="AF170" s="749"/>
      <c r="AG170" s="749"/>
      <c r="AH170" s="749"/>
      <c r="AI170" s="749"/>
    </row>
    <row r="171" spans="30:35" ht="12.75">
      <c r="AD171" s="749"/>
      <c r="AE171" s="749"/>
      <c r="AF171" s="749"/>
      <c r="AG171" s="749"/>
      <c r="AH171" s="749"/>
      <c r="AI171" s="749"/>
    </row>
    <row r="172" spans="30:35" ht="12.75">
      <c r="AD172" s="749"/>
      <c r="AE172" s="749"/>
      <c r="AF172" s="749"/>
      <c r="AG172" s="749"/>
      <c r="AH172" s="749"/>
      <c r="AI172" s="749"/>
    </row>
    <row r="173" spans="30:35" ht="12.75">
      <c r="AD173" s="749"/>
      <c r="AE173" s="749"/>
      <c r="AF173" s="749"/>
      <c r="AG173" s="749"/>
      <c r="AH173" s="749"/>
      <c r="AI173" s="749"/>
    </row>
    <row r="174" spans="30:35" ht="12.75">
      <c r="AD174" s="749"/>
      <c r="AE174" s="749"/>
      <c r="AF174" s="749"/>
      <c r="AG174" s="749"/>
      <c r="AH174" s="749"/>
      <c r="AI174" s="749"/>
    </row>
    <row r="175" spans="30:35" ht="12.75">
      <c r="AD175" s="749"/>
      <c r="AE175" s="749"/>
      <c r="AF175" s="749"/>
      <c r="AG175" s="749"/>
      <c r="AH175" s="749"/>
      <c r="AI175" s="749"/>
    </row>
    <row r="176" spans="30:35" ht="12.75">
      <c r="AD176" s="749"/>
      <c r="AE176" s="749"/>
      <c r="AF176" s="749"/>
      <c r="AG176" s="749"/>
      <c r="AH176" s="749"/>
      <c r="AI176" s="749"/>
    </row>
    <row r="177" spans="30:35" ht="12.75">
      <c r="AD177" s="749"/>
      <c r="AE177" s="749"/>
      <c r="AF177" s="749"/>
      <c r="AG177" s="749"/>
      <c r="AH177" s="749"/>
      <c r="AI177" s="749"/>
    </row>
    <row r="178" spans="30:35" ht="12.75">
      <c r="AD178" s="749"/>
      <c r="AE178" s="749"/>
      <c r="AF178" s="749"/>
      <c r="AG178" s="749"/>
      <c r="AH178" s="749"/>
      <c r="AI178" s="749"/>
    </row>
    <row r="179" spans="30:35" ht="12.75">
      <c r="AD179" s="749"/>
      <c r="AE179" s="749"/>
      <c r="AF179" s="749"/>
      <c r="AG179" s="749"/>
      <c r="AH179" s="749"/>
      <c r="AI179" s="749"/>
    </row>
    <row r="180" spans="30:35" ht="12.75">
      <c r="AD180" s="749"/>
      <c r="AE180" s="749"/>
      <c r="AF180" s="749"/>
      <c r="AG180" s="749"/>
      <c r="AH180" s="749"/>
      <c r="AI180" s="749"/>
    </row>
    <row r="181" spans="30:35" ht="12.75">
      <c r="AD181" s="749"/>
      <c r="AE181" s="749"/>
      <c r="AF181" s="749"/>
      <c r="AG181" s="749"/>
      <c r="AH181" s="749"/>
      <c r="AI181" s="749"/>
    </row>
    <row r="182" spans="30:35" ht="12.75">
      <c r="AD182" s="749"/>
      <c r="AE182" s="749"/>
      <c r="AF182" s="749"/>
      <c r="AG182" s="749"/>
      <c r="AH182" s="749"/>
      <c r="AI182" s="749"/>
    </row>
    <row r="183" spans="30:35" ht="12.75">
      <c r="AD183" s="749"/>
      <c r="AE183" s="749"/>
      <c r="AF183" s="749"/>
      <c r="AG183" s="749"/>
      <c r="AH183" s="749"/>
      <c r="AI183" s="749"/>
    </row>
    <row r="184" spans="30:35" ht="12.75">
      <c r="AD184" s="749"/>
      <c r="AE184" s="749"/>
      <c r="AF184" s="749"/>
      <c r="AG184" s="749"/>
      <c r="AH184" s="749"/>
      <c r="AI184" s="749"/>
    </row>
    <row r="185" spans="30:35" ht="12.75">
      <c r="AD185" s="749"/>
      <c r="AE185" s="749"/>
      <c r="AF185" s="749"/>
      <c r="AG185" s="749"/>
      <c r="AH185" s="749"/>
      <c r="AI185" s="749"/>
    </row>
    <row r="186" spans="30:35" ht="12.75">
      <c r="AD186" s="749"/>
      <c r="AE186" s="749"/>
      <c r="AF186" s="749"/>
      <c r="AG186" s="749"/>
      <c r="AH186" s="749"/>
      <c r="AI186" s="749"/>
    </row>
    <row r="187" spans="30:35" ht="12.75">
      <c r="AD187" s="749"/>
      <c r="AE187" s="749"/>
      <c r="AF187" s="749"/>
      <c r="AG187" s="749"/>
      <c r="AH187" s="749"/>
      <c r="AI187" s="749"/>
    </row>
    <row r="188" spans="30:35" ht="12.75">
      <c r="AD188" s="749"/>
      <c r="AE188" s="749"/>
      <c r="AF188" s="749"/>
      <c r="AG188" s="749"/>
      <c r="AH188" s="749"/>
      <c r="AI188" s="749"/>
    </row>
    <row r="189" spans="30:35" ht="12.75">
      <c r="AD189" s="749"/>
      <c r="AE189" s="749"/>
      <c r="AF189" s="749"/>
      <c r="AG189" s="749"/>
      <c r="AH189" s="749"/>
      <c r="AI189" s="749"/>
    </row>
    <row r="190" spans="30:35" ht="12.75">
      <c r="AD190" s="749"/>
      <c r="AE190" s="749"/>
      <c r="AF190" s="749"/>
      <c r="AG190" s="749"/>
      <c r="AH190" s="749"/>
      <c r="AI190" s="749"/>
    </row>
    <row r="191" spans="30:35" ht="12.75">
      <c r="AD191" s="749"/>
      <c r="AE191" s="749"/>
      <c r="AF191" s="749"/>
      <c r="AG191" s="749"/>
      <c r="AH191" s="749"/>
      <c r="AI191" s="749"/>
    </row>
    <row r="192" spans="30:35" ht="12.75">
      <c r="AD192" s="749"/>
      <c r="AE192" s="749"/>
      <c r="AF192" s="749"/>
      <c r="AG192" s="749"/>
      <c r="AH192" s="749"/>
      <c r="AI192" s="749"/>
    </row>
    <row r="193" spans="30:35" ht="12.75">
      <c r="AD193" s="749"/>
      <c r="AE193" s="749"/>
      <c r="AF193" s="749"/>
      <c r="AG193" s="749"/>
      <c r="AH193" s="749"/>
      <c r="AI193" s="749"/>
    </row>
    <row r="194" spans="30:35" ht="12.75">
      <c r="AD194" s="749"/>
      <c r="AE194" s="749"/>
      <c r="AF194" s="749"/>
      <c r="AG194" s="749"/>
      <c r="AH194" s="749"/>
      <c r="AI194" s="749"/>
    </row>
    <row r="195" spans="30:35" ht="12.75">
      <c r="AD195" s="749"/>
      <c r="AE195" s="749"/>
      <c r="AF195" s="749"/>
      <c r="AG195" s="749"/>
      <c r="AH195" s="749"/>
      <c r="AI195" s="749"/>
    </row>
    <row r="196" spans="30:35" ht="12.75">
      <c r="AD196" s="749"/>
      <c r="AE196" s="749"/>
      <c r="AF196" s="749"/>
      <c r="AG196" s="749"/>
      <c r="AH196" s="749"/>
      <c r="AI196" s="749"/>
    </row>
    <row r="197" spans="30:35" ht="12.75">
      <c r="AD197" s="749"/>
      <c r="AE197" s="749"/>
      <c r="AF197" s="749"/>
      <c r="AG197" s="749"/>
      <c r="AH197" s="749"/>
      <c r="AI197" s="749"/>
    </row>
    <row r="198" spans="30:35" ht="12.75">
      <c r="AD198" s="749"/>
      <c r="AE198" s="749"/>
      <c r="AF198" s="749"/>
      <c r="AG198" s="749"/>
      <c r="AH198" s="749"/>
      <c r="AI198" s="749"/>
    </row>
    <row r="199" spans="30:35" ht="12.75">
      <c r="AD199" s="749"/>
      <c r="AE199" s="749"/>
      <c r="AF199" s="749"/>
      <c r="AG199" s="749"/>
      <c r="AH199" s="749"/>
      <c r="AI199" s="749"/>
    </row>
    <row r="200" spans="30:35" ht="12.75">
      <c r="AD200" s="749"/>
      <c r="AE200" s="749"/>
      <c r="AF200" s="749"/>
      <c r="AG200" s="749"/>
      <c r="AH200" s="749"/>
      <c r="AI200" s="749"/>
    </row>
    <row r="201" spans="30:35" ht="12.75">
      <c r="AD201" s="749"/>
      <c r="AE201" s="749"/>
      <c r="AF201" s="749"/>
      <c r="AG201" s="749"/>
      <c r="AH201" s="749"/>
      <c r="AI201" s="749"/>
    </row>
    <row r="202" spans="30:35" ht="12.75">
      <c r="AD202" s="749"/>
      <c r="AE202" s="749"/>
      <c r="AF202" s="749"/>
      <c r="AG202" s="749"/>
      <c r="AH202" s="749"/>
      <c r="AI202" s="749"/>
    </row>
    <row r="203" spans="30:35" ht="12.75">
      <c r="AD203" s="749"/>
      <c r="AE203" s="749"/>
      <c r="AF203" s="749"/>
      <c r="AG203" s="749"/>
      <c r="AH203" s="749"/>
      <c r="AI203" s="749"/>
    </row>
    <row r="204" spans="30:35" ht="12.75">
      <c r="AD204" s="749"/>
      <c r="AE204" s="749"/>
      <c r="AF204" s="749"/>
      <c r="AG204" s="749"/>
      <c r="AH204" s="749"/>
      <c r="AI204" s="749"/>
    </row>
    <row r="205" spans="30:35" ht="12.75">
      <c r="AD205" s="749"/>
      <c r="AE205" s="749"/>
      <c r="AF205" s="749"/>
      <c r="AG205" s="749"/>
      <c r="AH205" s="749"/>
      <c r="AI205" s="749"/>
    </row>
    <row r="206" spans="30:35" ht="12.75">
      <c r="AD206" s="749"/>
      <c r="AE206" s="749"/>
      <c r="AF206" s="749"/>
      <c r="AG206" s="749"/>
      <c r="AH206" s="749"/>
      <c r="AI206" s="749"/>
    </row>
    <row r="207" spans="30:35" ht="12.75">
      <c r="AD207" s="749"/>
      <c r="AE207" s="749"/>
      <c r="AF207" s="749"/>
      <c r="AG207" s="749"/>
      <c r="AH207" s="749"/>
      <c r="AI207" s="749"/>
    </row>
    <row r="208" spans="30:35" ht="12.75">
      <c r="AD208" s="749"/>
      <c r="AE208" s="749"/>
      <c r="AF208" s="749"/>
      <c r="AG208" s="749"/>
      <c r="AH208" s="749"/>
      <c r="AI208" s="749"/>
    </row>
    <row r="209" spans="30:35" ht="12.75">
      <c r="AD209" s="749"/>
      <c r="AE209" s="749"/>
      <c r="AF209" s="749"/>
      <c r="AG209" s="749"/>
      <c r="AH209" s="749"/>
      <c r="AI209" s="749"/>
    </row>
    <row r="210" spans="30:35" ht="12.75">
      <c r="AD210" s="749"/>
      <c r="AE210" s="749"/>
      <c r="AF210" s="749"/>
      <c r="AG210" s="749"/>
      <c r="AH210" s="749"/>
      <c r="AI210" s="749"/>
    </row>
    <row r="211" spans="30:35" ht="12.75">
      <c r="AD211" s="749"/>
      <c r="AE211" s="749"/>
      <c r="AF211" s="749"/>
      <c r="AG211" s="749"/>
      <c r="AH211" s="749"/>
      <c r="AI211" s="749"/>
    </row>
    <row r="212" spans="30:35" ht="12.75">
      <c r="AD212" s="749"/>
      <c r="AE212" s="749"/>
      <c r="AF212" s="749"/>
      <c r="AG212" s="749"/>
      <c r="AH212" s="749"/>
      <c r="AI212" s="749"/>
    </row>
    <row r="213" spans="30:35" ht="12.75">
      <c r="AD213" s="749"/>
      <c r="AE213" s="749"/>
      <c r="AF213" s="749"/>
      <c r="AG213" s="749"/>
      <c r="AH213" s="749"/>
      <c r="AI213" s="749"/>
    </row>
    <row r="214" spans="30:35" ht="12.75">
      <c r="AD214" s="749"/>
      <c r="AE214" s="749"/>
      <c r="AF214" s="749"/>
      <c r="AG214" s="749"/>
      <c r="AH214" s="749"/>
      <c r="AI214" s="749"/>
    </row>
    <row r="215" spans="30:35" ht="12.75">
      <c r="AD215" s="749"/>
      <c r="AE215" s="749"/>
      <c r="AF215" s="749"/>
      <c r="AG215" s="749"/>
      <c r="AH215" s="749"/>
      <c r="AI215" s="749"/>
    </row>
    <row r="216" spans="30:35" ht="12.75">
      <c r="AD216" s="749"/>
      <c r="AE216" s="749"/>
      <c r="AF216" s="749"/>
      <c r="AG216" s="749"/>
      <c r="AH216" s="749"/>
      <c r="AI216" s="749"/>
    </row>
    <row r="217" spans="30:35" ht="12.75">
      <c r="AD217" s="749"/>
      <c r="AE217" s="749"/>
      <c r="AF217" s="749"/>
      <c r="AG217" s="749"/>
      <c r="AH217" s="749"/>
      <c r="AI217" s="749"/>
    </row>
    <row r="218" spans="30:35" ht="12.75">
      <c r="AD218" s="749"/>
      <c r="AE218" s="749"/>
      <c r="AF218" s="749"/>
      <c r="AG218" s="749"/>
      <c r="AH218" s="749"/>
      <c r="AI218" s="749"/>
    </row>
    <row r="219" spans="30:35" ht="12.75">
      <c r="AD219" s="749"/>
      <c r="AE219" s="749"/>
      <c r="AF219" s="749"/>
      <c r="AG219" s="749"/>
      <c r="AH219" s="749"/>
      <c r="AI219" s="749"/>
    </row>
  </sheetData>
  <sheetProtection password="CF3C" sheet="1"/>
  <mergeCells count="1">
    <mergeCell ref="BK17:BM19"/>
  </mergeCells>
  <hyperlinks>
    <hyperlink ref="AH33" location="ANEXO_Cuadro_N__1__Costo_de_implantación_de_pasturas_y_verdeos_Tambo" display="ANEXO"/>
    <hyperlink ref="AH67" location="ANEXO_Cuadro_N__2__Costo_de_implantación_de_pasturas_y_verdeos_Invernada" display="ANEXO"/>
  </hyperlinks>
  <printOptions horizontalCentered="1"/>
  <pageMargins left="0.5905511811023623" right="0.36" top="0.4" bottom="0.4" header="0" footer="0.1968503937007874"/>
  <pageSetup fitToHeight="1" fitToWidth="1" horizontalDpi="300" verticalDpi="300" orientation="portrait" paperSize="9" r:id="rId2"/>
  <headerFooter alignWithMargins="0">
    <oddHeader>&amp;C&amp;"Arial,Normal"TAMBO 2006 - Modelo de Análisis: Tambo, Invernada y Agricultura</oddHeader>
    <oddFooter>&amp;C&amp;"Arial,Cursiva"&amp;10Administración  de Organizaciones - Facultad de Ciencias Agrarias - UNL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TAMBO 2006</dc:title>
  <dc:subject>Modelo de análisis técnico-económico para empresas predominantemente lecheras</dc:subject>
  <dc:creator>Ana María Cursack; María Isabel Castignani; Mariana Travadelo; Oscar E. Osan; Marta M. Suero; Horacio A. Castignani</dc:creator>
  <cp:keywords/>
  <dc:description/>
  <cp:lastModifiedBy>Usuario</cp:lastModifiedBy>
  <cp:lastPrinted>2010-03-10T14:01:16Z</cp:lastPrinted>
  <dcterms:created xsi:type="dcterms:W3CDTF">2005-11-09T20:07:04Z</dcterms:created>
  <dcterms:modified xsi:type="dcterms:W3CDTF">2010-03-18T12:13:48Z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 Mode">
    <vt:lpwstr>student</vt:lpwstr>
  </property>
  <property fmtid="{D5CDD505-2E9C-101B-9397-08002B2CF9AE}" pid="3" name="SE DAP Default">
    <vt:lpwstr>NODEFAULTDAP</vt:lpwstr>
  </property>
</Properties>
</file>