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<sst xmlns="http://schemas.openxmlformats.org/spreadsheetml/2006/main" count="152" uniqueCount="72">
  <si>
    <t>Categoría</t>
  </si>
  <si>
    <t>PV</t>
  </si>
  <si>
    <t>PL</t>
  </si>
  <si>
    <t>CMS</t>
  </si>
  <si>
    <t>%Grasa</t>
  </si>
  <si>
    <t>F. Lact.</t>
  </si>
  <si>
    <t>APVD</t>
  </si>
  <si>
    <t>kgMS</t>
  </si>
  <si>
    <t>EM</t>
  </si>
  <si>
    <t>PB</t>
  </si>
  <si>
    <t>OFERTA</t>
  </si>
  <si>
    <t>REQUERIMIENTOS</t>
  </si>
  <si>
    <t>BALANCE</t>
  </si>
  <si>
    <t>Diferencia</t>
  </si>
  <si>
    <t>Calidad dieta</t>
  </si>
  <si>
    <t>McalEM/kgMS</t>
  </si>
  <si>
    <t>% PB</t>
  </si>
  <si>
    <t>Alimentos</t>
  </si>
  <si>
    <t>DIETA</t>
  </si>
  <si>
    <t>Caractarística del alimento</t>
  </si>
  <si>
    <t>Stock</t>
  </si>
  <si>
    <t>SUMINISTRO DIARIO</t>
  </si>
  <si>
    <t>kgMV</t>
  </si>
  <si>
    <t>%CMS</t>
  </si>
  <si>
    <t>FDN</t>
  </si>
  <si>
    <t>EE</t>
  </si>
  <si>
    <t>$/rac</t>
  </si>
  <si>
    <t>MS</t>
  </si>
  <si>
    <t>Dig</t>
  </si>
  <si>
    <t>$/ton</t>
  </si>
  <si>
    <t>Cant</t>
  </si>
  <si>
    <t>kgMv</t>
  </si>
  <si>
    <t>%ap.</t>
  </si>
  <si>
    <t>kgMV/cab</t>
  </si>
  <si>
    <t>Lote kgMV/día</t>
  </si>
  <si>
    <t>Afrechillo Trigo</t>
  </si>
  <si>
    <t>Expeller Girasol</t>
  </si>
  <si>
    <t>Expeller Soja</t>
  </si>
  <si>
    <t>Grano Maiz</t>
  </si>
  <si>
    <t>Grano Sorgo</t>
  </si>
  <si>
    <t>Pastura degradada</t>
  </si>
  <si>
    <t>Poroto soja</t>
  </si>
  <si>
    <t>Rollo moha</t>
  </si>
  <si>
    <t>Rollo soja molido</t>
  </si>
  <si>
    <t>Rollo rast sorgo molido</t>
  </si>
  <si>
    <t>Semilla Algodón</t>
  </si>
  <si>
    <t>Silo alfalfa</t>
  </si>
  <si>
    <t>Silo maiz</t>
  </si>
  <si>
    <t>Verdeo TRIGO</t>
  </si>
  <si>
    <t>silo de sorgo granifero</t>
  </si>
  <si>
    <t>TOTAL</t>
  </si>
  <si>
    <t>$ración/vaca</t>
  </si>
  <si>
    <t>L Leche/vaca</t>
  </si>
  <si>
    <t>$ L. Leche</t>
  </si>
  <si>
    <t>M. B/vaca</t>
  </si>
  <si>
    <t>Requerimientos</t>
  </si>
  <si>
    <t xml:space="preserve">vaca </t>
  </si>
  <si>
    <t>Rollo alfalfa</t>
  </si>
  <si>
    <t xml:space="preserve">Pastura base alfalfa </t>
  </si>
  <si>
    <t xml:space="preserve">Conc. Proteico </t>
  </si>
  <si>
    <t>Lote</t>
  </si>
  <si>
    <t>Cantidad de Vacas</t>
  </si>
  <si>
    <t>Alumna:</t>
  </si>
  <si>
    <t>Verónica Graciela Bersano</t>
  </si>
  <si>
    <t>Docente:</t>
  </si>
  <si>
    <t>Daniel A. Grenón</t>
  </si>
  <si>
    <t>Fecha entrega:</t>
  </si>
  <si>
    <t>19 de diciembre de 2008</t>
  </si>
  <si>
    <t>$ración/$leche</t>
  </si>
  <si>
    <t>Cantidad de Cabezas</t>
  </si>
  <si>
    <t>Faculta de Ciencias Agrarias - Universidad Nacional del Litoral</t>
  </si>
  <si>
    <t>Cátedra de Agromática 2: Modelos matemáticos agronómicos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</si>
</sst>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0.000"/>
    <numFmt numFmtId="166" formatCode="0.0%"/>
    <numFmt numFmtId="167" formatCode="_(&quot;$&quot;* #,##0.00_);_(&quot;$&quot;* \(#,##0.00\);_(&quot;$&quot;* &quot;-&quot;??_);_(@_)"/>
    <numFmt numFmtId="168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0"/>
    </font>
    <font>
      <sz val="10"/>
      <color indexed="12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9" fontId="1" fillId="0" borderId="1" xfId="19" applyFont="1" applyBorder="1" applyAlignment="1">
      <alignment/>
    </xf>
    <xf numFmtId="9" fontId="1" fillId="0" borderId="2" xfId="19" applyFont="1" applyBorder="1" applyAlignment="1">
      <alignment/>
    </xf>
    <xf numFmtId="9" fontId="1" fillId="0" borderId="6" xfId="19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right"/>
    </xf>
    <xf numFmtId="2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16" xfId="0" applyFont="1" applyBorder="1" applyAlignment="1">
      <alignment/>
    </xf>
    <xf numFmtId="164" fontId="1" fillId="0" borderId="17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0" fontId="1" fillId="0" borderId="0" xfId="0" applyFont="1" applyAlignment="1">
      <alignment horizontal="right"/>
    </xf>
    <xf numFmtId="9" fontId="1" fillId="0" borderId="10" xfId="19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19" xfId="0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20" xfId="0" applyBorder="1" applyAlignment="1">
      <alignment/>
    </xf>
    <xf numFmtId="9" fontId="0" fillId="0" borderId="0" xfId="19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9" fontId="0" fillId="0" borderId="0" xfId="19" applyBorder="1" applyAlignment="1">
      <alignment horizontal="right"/>
    </xf>
    <xf numFmtId="166" fontId="0" fillId="0" borderId="0" xfId="19" applyNumberFormat="1" applyBorder="1" applyAlignment="1">
      <alignment horizontal="right"/>
    </xf>
    <xf numFmtId="44" fontId="0" fillId="0" borderId="12" xfId="17" applyBorder="1" applyAlignment="1">
      <alignment/>
    </xf>
    <xf numFmtId="0" fontId="0" fillId="0" borderId="11" xfId="0" applyBorder="1" applyAlignment="1">
      <alignment horizontal="right"/>
    </xf>
    <xf numFmtId="168" fontId="0" fillId="0" borderId="12" xfId="15" applyNumberFormat="1" applyBorder="1" applyAlignment="1">
      <alignment horizontal="right"/>
    </xf>
    <xf numFmtId="1" fontId="0" fillId="0" borderId="9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5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6" fontId="1" fillId="0" borderId="2" xfId="19" applyNumberFormat="1" applyFont="1" applyBorder="1" applyAlignment="1">
      <alignment/>
    </xf>
    <xf numFmtId="44" fontId="1" fillId="0" borderId="6" xfId="17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1" fontId="1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1" fillId="2" borderId="5" xfId="0" applyFont="1" applyFill="1" applyBorder="1" applyAlignment="1">
      <alignment horizontal="center"/>
    </xf>
    <xf numFmtId="167" fontId="0" fillId="0" borderId="5" xfId="0" applyNumberFormat="1" applyBorder="1" applyAlignment="1">
      <alignment/>
    </xf>
    <xf numFmtId="43" fontId="0" fillId="0" borderId="5" xfId="0" applyNumberForma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3" borderId="2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 locked="0"/>
    </xf>
    <xf numFmtId="164" fontId="3" fillId="0" borderId="11" xfId="0" applyNumberFormat="1" applyFont="1" applyFill="1" applyBorder="1" applyAlignment="1" applyProtection="1">
      <alignment/>
      <protection locked="0"/>
    </xf>
    <xf numFmtId="9" fontId="3" fillId="0" borderId="11" xfId="19" applyFont="1" applyBorder="1" applyAlignment="1" applyProtection="1">
      <alignment horizontal="right"/>
      <protection locked="0"/>
    </xf>
    <xf numFmtId="166" fontId="3" fillId="0" borderId="0" xfId="19" applyNumberFormat="1" applyFont="1" applyBorder="1" applyAlignment="1" applyProtection="1">
      <alignment horizontal="right"/>
      <protection locked="0"/>
    </xf>
    <xf numFmtId="9" fontId="3" fillId="0" borderId="0" xfId="19" applyFont="1" applyBorder="1" applyAlignment="1" applyProtection="1">
      <alignment horizontal="right"/>
      <protection locked="0"/>
    </xf>
    <xf numFmtId="164" fontId="3" fillId="0" borderId="0" xfId="0" applyNumberFormat="1" applyFont="1" applyBorder="1" applyAlignment="1" applyProtection="1">
      <alignment horizontal="right"/>
      <protection locked="0"/>
    </xf>
    <xf numFmtId="1" fontId="3" fillId="0" borderId="12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9" fontId="2" fillId="0" borderId="0" xfId="19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/>
      <protection locked="0"/>
    </xf>
    <xf numFmtId="2" fontId="1" fillId="2" borderId="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/>
        <i val="0"/>
        <color rgb="FF008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workbookViewId="0" topLeftCell="A1">
      <selection activeCell="A6" sqref="A6"/>
    </sheetView>
  </sheetViews>
  <sheetFormatPr defaultColWidth="11.421875" defaultRowHeight="12.75"/>
  <cols>
    <col min="1" max="1" width="22.57421875" style="0" bestFit="1" customWidth="1"/>
    <col min="2" max="2" width="12.140625" style="0" customWidth="1"/>
    <col min="3" max="3" width="10.28125" style="0" customWidth="1"/>
    <col min="4" max="4" width="7.7109375" style="0" customWidth="1"/>
    <col min="5" max="5" width="7.8515625" style="0" customWidth="1"/>
    <col min="6" max="6" width="7.28125" style="0" customWidth="1"/>
    <col min="7" max="7" width="5.7109375" style="0" customWidth="1"/>
    <col min="8" max="8" width="12.421875" style="0" customWidth="1"/>
    <col min="9" max="10" width="7.8515625" style="0" customWidth="1"/>
    <col min="11" max="16" width="6.57421875" style="0" customWidth="1"/>
    <col min="17" max="17" width="6.8515625" style="0" customWidth="1"/>
    <col min="18" max="18" width="8.421875" style="0" customWidth="1"/>
    <col min="19" max="19" width="8.7109375" style="0" customWidth="1"/>
    <col min="20" max="20" width="9.421875" style="0" customWidth="1"/>
    <col min="22" max="22" width="13.8515625" style="0" customWidth="1"/>
  </cols>
  <sheetData>
    <row r="1" spans="1:2" ht="12.75">
      <c r="A1" t="s">
        <v>62</v>
      </c>
      <c r="B1" t="s">
        <v>63</v>
      </c>
    </row>
    <row r="2" spans="1:2" ht="12.75">
      <c r="A2" t="s">
        <v>64</v>
      </c>
      <c r="B2" t="s">
        <v>65</v>
      </c>
    </row>
    <row r="3" spans="1:2" ht="12.75">
      <c r="A3" t="s">
        <v>66</v>
      </c>
      <c r="B3" t="s">
        <v>67</v>
      </c>
    </row>
    <row r="5" ht="12.75">
      <c r="A5" t="s">
        <v>71</v>
      </c>
    </row>
    <row r="6" ht="12.75">
      <c r="A6" t="s">
        <v>70</v>
      </c>
    </row>
    <row r="8" spans="1:7" ht="12.75">
      <c r="A8" s="76" t="s">
        <v>0</v>
      </c>
      <c r="B8" s="77" t="s">
        <v>1</v>
      </c>
      <c r="C8" s="77" t="s">
        <v>2</v>
      </c>
      <c r="D8" s="77" t="s">
        <v>3</v>
      </c>
      <c r="E8" s="78" t="s">
        <v>4</v>
      </c>
      <c r="F8" s="78" t="s">
        <v>5</v>
      </c>
      <c r="G8" s="79" t="s">
        <v>6</v>
      </c>
    </row>
    <row r="9" spans="1:22" ht="12.75">
      <c r="A9" s="119" t="s">
        <v>56</v>
      </c>
      <c r="B9" s="120">
        <v>560</v>
      </c>
      <c r="C9" s="120">
        <v>29.57</v>
      </c>
      <c r="D9" s="6">
        <f>IF(C9&gt;=18,B9*0.022+C9*0.2,B9*0.025+0.1*C9)</f>
        <v>18.233999999999998</v>
      </c>
      <c r="E9" s="120">
        <v>3.59</v>
      </c>
      <c r="F9" s="121">
        <v>1.1</v>
      </c>
      <c r="G9" s="121">
        <v>-0.2</v>
      </c>
      <c r="H9" s="109"/>
      <c r="I9" s="110"/>
      <c r="J9" s="111"/>
      <c r="K9" s="80" t="s">
        <v>7</v>
      </c>
      <c r="L9" s="81" t="s">
        <v>8</v>
      </c>
      <c r="M9" s="82" t="s">
        <v>9</v>
      </c>
      <c r="T9" s="5"/>
      <c r="U9" s="81" t="s">
        <v>8</v>
      </c>
      <c r="V9" s="82" t="s">
        <v>9</v>
      </c>
    </row>
    <row r="10" spans="1:22" ht="12.75">
      <c r="A10" s="10"/>
      <c r="B10" s="10"/>
      <c r="C10" s="10"/>
      <c r="D10" s="10"/>
      <c r="H10" s="104" t="s">
        <v>10</v>
      </c>
      <c r="I10" s="105"/>
      <c r="J10" s="106"/>
      <c r="K10" s="11">
        <f>+D38</f>
        <v>17.872</v>
      </c>
      <c r="L10" s="12">
        <f>+E38</f>
        <v>46.587296800000004</v>
      </c>
      <c r="M10" s="13">
        <f>+F38</f>
        <v>3.1141400000000004</v>
      </c>
      <c r="T10" s="17"/>
      <c r="U10" s="18">
        <f>(3.25+0.02*$B$9)*$F$9+(0.544+0.147*$E$9)*$C$9</f>
        <v>47.58605610000001</v>
      </c>
      <c r="V10" s="18">
        <f>(0.13+0.001*$B$9)*$F$9+(0.046+0.008*$E$9)*$C$9</f>
        <v>2.9684704</v>
      </c>
    </row>
    <row r="11" spans="1:22" ht="12.75">
      <c r="A11" s="85" t="s">
        <v>69</v>
      </c>
      <c r="B11" s="86" t="s">
        <v>60</v>
      </c>
      <c r="D11" s="10"/>
      <c r="H11" s="107" t="s">
        <v>11</v>
      </c>
      <c r="I11" s="108"/>
      <c r="J11" s="108"/>
      <c r="K11" s="14">
        <f>+D9</f>
        <v>18.233999999999998</v>
      </c>
      <c r="L11" s="15">
        <f>+U14</f>
        <v>45.93605610000001</v>
      </c>
      <c r="M11" s="16">
        <f>+V14</f>
        <v>2.9044704</v>
      </c>
      <c r="T11" s="17"/>
      <c r="U11" s="18">
        <f>IF($G$9&gt;0,($U$10+8.55*$G$9),($U$10+8.25*$G$9))</f>
        <v>45.93605610000001</v>
      </c>
      <c r="V11" s="22">
        <f>IF($G$9&gt;0,($V$10+0.5*$G$9),($V$10+0.32*$G$9))</f>
        <v>2.9044704</v>
      </c>
    </row>
    <row r="12" spans="1:22" ht="12.75">
      <c r="A12" s="120">
        <v>67</v>
      </c>
      <c r="B12" s="120">
        <v>1</v>
      </c>
      <c r="D12" s="10"/>
      <c r="H12" s="93" t="s">
        <v>12</v>
      </c>
      <c r="I12" s="94"/>
      <c r="J12" s="95"/>
      <c r="K12" s="19">
        <f>+K10-K11</f>
        <v>-0.3619999999999983</v>
      </c>
      <c r="L12" s="20">
        <f>+L10-L11</f>
        <v>0.6512406999999953</v>
      </c>
      <c r="M12" s="21">
        <f>+M10-M11</f>
        <v>0.20966960000000023</v>
      </c>
      <c r="T12" s="17"/>
      <c r="U12" s="10"/>
      <c r="V12" s="26"/>
    </row>
    <row r="13" spans="1:22" ht="13.5" thickBot="1">
      <c r="A13" s="117" t="s">
        <v>68</v>
      </c>
      <c r="B13" s="118">
        <f>B14/(B15*B16)</f>
        <v>0.32023712427141976</v>
      </c>
      <c r="D13" s="10"/>
      <c r="H13" s="96" t="s">
        <v>13</v>
      </c>
      <c r="I13" s="97"/>
      <c r="J13" s="98"/>
      <c r="K13" s="23">
        <f>+K12/K11</f>
        <v>-0.0198530218273554</v>
      </c>
      <c r="L13" s="24">
        <f>+L12/L11</f>
        <v>0.014177113912049476</v>
      </c>
      <c r="M13" s="25">
        <f>+M12/M11</f>
        <v>0.0721885821249892</v>
      </c>
      <c r="T13" s="27"/>
      <c r="U13" s="28"/>
      <c r="V13" s="29"/>
    </row>
    <row r="14" spans="1:22" ht="13.5" thickTop="1">
      <c r="A14" s="89" t="s">
        <v>51</v>
      </c>
      <c r="B14" s="72">
        <f>J38</f>
        <v>8.049</v>
      </c>
      <c r="D14" s="10"/>
      <c r="T14" s="35" t="s">
        <v>55</v>
      </c>
      <c r="U14" s="36">
        <f>$U$11</f>
        <v>45.93605610000001</v>
      </c>
      <c r="V14" s="37">
        <f>$V$11</f>
        <v>2.9044704</v>
      </c>
    </row>
    <row r="15" spans="1:13" ht="12.75">
      <c r="A15" s="89" t="s">
        <v>52</v>
      </c>
      <c r="B15" s="70">
        <f>C9</f>
        <v>29.57</v>
      </c>
      <c r="D15" s="10"/>
      <c r="I15" s="83"/>
      <c r="J15" s="84" t="s">
        <v>14</v>
      </c>
      <c r="K15" s="32">
        <f>+L10/K10</f>
        <v>2.606719829901522</v>
      </c>
      <c r="L15" s="33" t="s">
        <v>15</v>
      </c>
      <c r="M15" s="34"/>
    </row>
    <row r="16" spans="1:13" ht="12.75">
      <c r="A16" s="89" t="s">
        <v>53</v>
      </c>
      <c r="B16" s="70">
        <v>0.85</v>
      </c>
      <c r="D16" s="10"/>
      <c r="E16" s="10"/>
      <c r="I16" s="38"/>
      <c r="K16" s="39">
        <f>+M10/K10</f>
        <v>0.17424686660698302</v>
      </c>
      <c r="L16" s="40" t="s">
        <v>16</v>
      </c>
      <c r="M16" s="41"/>
    </row>
    <row r="17" spans="1:2" ht="12.75">
      <c r="A17" s="89" t="s">
        <v>54</v>
      </c>
      <c r="B17" s="73">
        <f>B15*B16-B14</f>
        <v>17.0855</v>
      </c>
    </row>
    <row r="18" spans="1:22" ht="12.75">
      <c r="A18" s="115" t="s">
        <v>17</v>
      </c>
      <c r="B18" s="112" t="s">
        <v>18</v>
      </c>
      <c r="C18" s="114"/>
      <c r="D18" s="114"/>
      <c r="E18" s="114"/>
      <c r="F18" s="114"/>
      <c r="G18" s="114"/>
      <c r="H18" s="114"/>
      <c r="I18" s="114"/>
      <c r="J18" s="113"/>
      <c r="K18" s="112" t="s">
        <v>19</v>
      </c>
      <c r="L18" s="114"/>
      <c r="M18" s="114"/>
      <c r="N18" s="114"/>
      <c r="O18" s="114"/>
      <c r="P18" s="114"/>
      <c r="Q18" s="113"/>
      <c r="R18" s="112" t="s">
        <v>20</v>
      </c>
      <c r="S18" s="113"/>
      <c r="T18" s="112" t="s">
        <v>21</v>
      </c>
      <c r="U18" s="114"/>
      <c r="V18" s="113"/>
    </row>
    <row r="19" spans="1:22" ht="12.75">
      <c r="A19" s="116"/>
      <c r="B19" s="87" t="s">
        <v>22</v>
      </c>
      <c r="C19" s="78" t="s">
        <v>23</v>
      </c>
      <c r="D19" s="78" t="s">
        <v>7</v>
      </c>
      <c r="E19" s="78" t="s">
        <v>8</v>
      </c>
      <c r="F19" s="78" t="s">
        <v>9</v>
      </c>
      <c r="G19" s="78"/>
      <c r="H19" s="78" t="s">
        <v>24</v>
      </c>
      <c r="I19" s="78" t="s">
        <v>25</v>
      </c>
      <c r="J19" s="79" t="s">
        <v>26</v>
      </c>
      <c r="K19" s="87" t="s">
        <v>27</v>
      </c>
      <c r="L19" s="78" t="s">
        <v>9</v>
      </c>
      <c r="M19" s="78" t="s">
        <v>28</v>
      </c>
      <c r="N19" s="78" t="s">
        <v>8</v>
      </c>
      <c r="O19" s="78" t="s">
        <v>24</v>
      </c>
      <c r="P19" s="78" t="s">
        <v>25</v>
      </c>
      <c r="Q19" s="79" t="s">
        <v>29</v>
      </c>
      <c r="R19" s="87" t="s">
        <v>30</v>
      </c>
      <c r="S19" s="79" t="s">
        <v>31</v>
      </c>
      <c r="T19" s="87" t="s">
        <v>32</v>
      </c>
      <c r="U19" s="78" t="s">
        <v>33</v>
      </c>
      <c r="V19" s="88" t="s">
        <v>34</v>
      </c>
    </row>
    <row r="20" spans="1:22" ht="12.75">
      <c r="A20" s="45" t="s">
        <v>35</v>
      </c>
      <c r="B20" s="122">
        <v>0</v>
      </c>
      <c r="C20" s="46">
        <f>IF($D$38&lt;&gt;0,D20/$D$38,0)</f>
        <v>0</v>
      </c>
      <c r="D20" s="47">
        <f>B20*K20</f>
        <v>0</v>
      </c>
      <c r="E20" s="47">
        <f>D20*N20</f>
        <v>0</v>
      </c>
      <c r="F20" s="48">
        <f>D20*L20</f>
        <v>0</v>
      </c>
      <c r="G20" s="48"/>
      <c r="H20" s="49">
        <f>IF($D$38&lt;&gt;0,D20*O20/$D$38,0)</f>
        <v>0</v>
      </c>
      <c r="I20" s="50">
        <f>IF($D$38&lt;&gt;0,D20*P20/$D$38,0)</f>
        <v>0</v>
      </c>
      <c r="J20" s="51">
        <f>B20*Q20/1000</f>
        <v>0</v>
      </c>
      <c r="K20" s="123">
        <v>0.872</v>
      </c>
      <c r="L20" s="124">
        <v>0.168</v>
      </c>
      <c r="M20" s="125"/>
      <c r="N20" s="126">
        <v>2.7</v>
      </c>
      <c r="O20" s="125">
        <v>0.518</v>
      </c>
      <c r="P20" s="124">
        <v>0.0471</v>
      </c>
      <c r="Q20" s="127">
        <v>285</v>
      </c>
      <c r="R20" s="52"/>
      <c r="S20" s="53"/>
      <c r="T20" s="132">
        <v>0.9</v>
      </c>
      <c r="U20" s="47">
        <f>D20/T20</f>
        <v>0</v>
      </c>
      <c r="V20" s="54">
        <f aca="true" t="shared" si="0" ref="V20:V37">+(U20*$A$12)</f>
        <v>0</v>
      </c>
    </row>
    <row r="21" spans="1:22" ht="12.75">
      <c r="A21" s="45" t="s">
        <v>36</v>
      </c>
      <c r="B21" s="122">
        <v>1</v>
      </c>
      <c r="C21" s="46">
        <f aca="true" t="shared" si="1" ref="C21:C37">IF($D$38&lt;&gt;0,D21/$D$38,0)</f>
        <v>0.051477170993733216</v>
      </c>
      <c r="D21" s="47">
        <f aca="true" t="shared" si="2" ref="D21:D37">B21*K21</f>
        <v>0.92</v>
      </c>
      <c r="E21" s="47">
        <f aca="true" t="shared" si="3" ref="E21:E37">D21*N21</f>
        <v>1.9872000000000003</v>
      </c>
      <c r="F21" s="48">
        <f aca="true" t="shared" si="4" ref="F21:F37">D21*L21</f>
        <v>0.2898</v>
      </c>
      <c r="G21" s="48"/>
      <c r="H21" s="49">
        <f aca="true" t="shared" si="5" ref="H21:H37">IF($D$38&lt;&gt;0,D21*O21/$D$38,0)</f>
        <v>0.025223813786929276</v>
      </c>
      <c r="I21" s="50">
        <f aca="true" t="shared" si="6" ref="I21:I37">IF($D$38&lt;&gt;0,D21*P21/$D$38,0)</f>
        <v>0.004221128021486124</v>
      </c>
      <c r="J21" s="51">
        <f aca="true" t="shared" si="7" ref="J21:J37">B21*Q21/1000</f>
        <v>0.3</v>
      </c>
      <c r="K21" s="123">
        <v>0.92</v>
      </c>
      <c r="L21" s="124">
        <v>0.315</v>
      </c>
      <c r="M21" s="125"/>
      <c r="N21" s="126">
        <v>2.16</v>
      </c>
      <c r="O21" s="125">
        <v>0.49</v>
      </c>
      <c r="P21" s="124">
        <v>0.082</v>
      </c>
      <c r="Q21" s="127">
        <v>300</v>
      </c>
      <c r="R21" s="52"/>
      <c r="S21" s="53"/>
      <c r="T21" s="132">
        <v>0.5</v>
      </c>
      <c r="U21" s="47">
        <f aca="true" t="shared" si="8" ref="U21:U37">D21/T21</f>
        <v>1.84</v>
      </c>
      <c r="V21" s="54">
        <f t="shared" si="0"/>
        <v>123.28</v>
      </c>
    </row>
    <row r="22" spans="1:22" ht="12.75">
      <c r="A22" s="45" t="s">
        <v>37</v>
      </c>
      <c r="B22" s="122">
        <v>0</v>
      </c>
      <c r="C22" s="46">
        <f>IF($D$38&lt;&gt;0,D22/$D$38,0)</f>
        <v>0</v>
      </c>
      <c r="D22" s="47">
        <f>B22*K22</f>
        <v>0</v>
      </c>
      <c r="E22" s="47">
        <f>D22*N22</f>
        <v>0</v>
      </c>
      <c r="F22" s="48">
        <f>D22*L22</f>
        <v>0</v>
      </c>
      <c r="G22" s="48"/>
      <c r="H22" s="49">
        <f>IF($D$38&lt;&gt;0,D22*O22/$D$38,0)</f>
        <v>0</v>
      </c>
      <c r="I22" s="50">
        <f>IF($D$38&lt;&gt;0,D22*P22/$D$38,0)</f>
        <v>0</v>
      </c>
      <c r="J22" s="51">
        <f>B22*Q22/1000</f>
        <v>0</v>
      </c>
      <c r="K22" s="123">
        <v>0.9</v>
      </c>
      <c r="L22" s="124">
        <v>0.441</v>
      </c>
      <c r="M22" s="125"/>
      <c r="N22" s="126">
        <v>3.34</v>
      </c>
      <c r="O22" s="125">
        <v>0.14</v>
      </c>
      <c r="P22" s="124">
        <v>0.053</v>
      </c>
      <c r="Q22" s="127">
        <v>300</v>
      </c>
      <c r="R22" s="52"/>
      <c r="S22" s="53"/>
      <c r="T22" s="132">
        <v>0.9</v>
      </c>
      <c r="U22" s="47">
        <f>D22/T22</f>
        <v>0</v>
      </c>
      <c r="V22" s="54">
        <f t="shared" si="0"/>
        <v>0</v>
      </c>
    </row>
    <row r="23" spans="1:22" ht="12.75">
      <c r="A23" s="45" t="s">
        <v>38</v>
      </c>
      <c r="B23" s="122">
        <v>3</v>
      </c>
      <c r="C23" s="46">
        <f t="shared" si="1"/>
        <v>0.14603849597135182</v>
      </c>
      <c r="D23" s="47">
        <f t="shared" si="2"/>
        <v>2.61</v>
      </c>
      <c r="E23" s="47">
        <f t="shared" si="3"/>
        <v>8.873999999999999</v>
      </c>
      <c r="F23" s="48">
        <f t="shared" si="4"/>
        <v>0.24795</v>
      </c>
      <c r="G23" s="48"/>
      <c r="H23" s="49">
        <f t="shared" si="5"/>
        <v>0.015772157564905995</v>
      </c>
      <c r="I23" s="50">
        <f t="shared" si="6"/>
        <v>0.006717770814682183</v>
      </c>
      <c r="J23" s="51">
        <f t="shared" si="7"/>
        <v>1.065</v>
      </c>
      <c r="K23" s="123">
        <v>0.87</v>
      </c>
      <c r="L23" s="124">
        <v>0.095</v>
      </c>
      <c r="M23" s="125"/>
      <c r="N23" s="126">
        <v>3.4</v>
      </c>
      <c r="O23" s="125">
        <v>0.108</v>
      </c>
      <c r="P23" s="124">
        <v>0.046</v>
      </c>
      <c r="Q23" s="127">
        <v>355</v>
      </c>
      <c r="R23" s="52"/>
      <c r="S23" s="53"/>
      <c r="T23" s="132">
        <v>0.9</v>
      </c>
      <c r="U23" s="47">
        <f t="shared" si="8"/>
        <v>2.9</v>
      </c>
      <c r="V23" s="54">
        <f t="shared" si="0"/>
        <v>194.29999999999998</v>
      </c>
    </row>
    <row r="24" spans="1:22" ht="12.75">
      <c r="A24" s="45" t="s">
        <v>39</v>
      </c>
      <c r="B24" s="122">
        <v>3</v>
      </c>
      <c r="C24" s="46">
        <f t="shared" si="1"/>
        <v>0.14939570277529096</v>
      </c>
      <c r="D24" s="47">
        <f t="shared" si="2"/>
        <v>2.67</v>
      </c>
      <c r="E24" s="47">
        <f t="shared" si="3"/>
        <v>8.544</v>
      </c>
      <c r="F24" s="48">
        <f t="shared" si="4"/>
        <v>0.29103</v>
      </c>
      <c r="G24" s="48"/>
      <c r="H24" s="49">
        <f t="shared" si="5"/>
        <v>0.014939570277529096</v>
      </c>
      <c r="I24" s="50">
        <f t="shared" si="6"/>
        <v>0.004183079677708147</v>
      </c>
      <c r="J24" s="51">
        <f t="shared" si="7"/>
        <v>0.9</v>
      </c>
      <c r="K24" s="123">
        <v>0.89</v>
      </c>
      <c r="L24" s="124">
        <v>0.109</v>
      </c>
      <c r="M24" s="125"/>
      <c r="N24" s="126">
        <v>3.2</v>
      </c>
      <c r="O24" s="125">
        <v>0.1</v>
      </c>
      <c r="P24" s="124">
        <v>0.028</v>
      </c>
      <c r="Q24" s="127">
        <v>300</v>
      </c>
      <c r="R24" s="52"/>
      <c r="S24" s="53"/>
      <c r="T24" s="132">
        <v>0.9</v>
      </c>
      <c r="U24" s="47">
        <f t="shared" si="8"/>
        <v>2.9666666666666663</v>
      </c>
      <c r="V24" s="54">
        <f t="shared" si="0"/>
        <v>198.76666666666665</v>
      </c>
    </row>
    <row r="25" spans="1:22" ht="12.75">
      <c r="A25" s="45" t="s">
        <v>40</v>
      </c>
      <c r="B25" s="122">
        <v>0</v>
      </c>
      <c r="C25" s="46">
        <f t="shared" si="1"/>
        <v>0</v>
      </c>
      <c r="D25" s="47">
        <f t="shared" si="2"/>
        <v>0</v>
      </c>
      <c r="E25" s="47">
        <f t="shared" si="3"/>
        <v>0</v>
      </c>
      <c r="F25" s="48">
        <f t="shared" si="4"/>
        <v>0</v>
      </c>
      <c r="G25" s="48"/>
      <c r="H25" s="49">
        <f t="shared" si="5"/>
        <v>0</v>
      </c>
      <c r="I25" s="50">
        <f t="shared" si="6"/>
        <v>0</v>
      </c>
      <c r="J25" s="51">
        <f t="shared" si="7"/>
        <v>0</v>
      </c>
      <c r="K25" s="123">
        <v>0.2</v>
      </c>
      <c r="L25" s="124">
        <v>0.11</v>
      </c>
      <c r="M25" s="125">
        <v>0.5</v>
      </c>
      <c r="N25" s="126">
        <f>3.6*M25</f>
        <v>1.8</v>
      </c>
      <c r="O25" s="128"/>
      <c r="P25" s="128"/>
      <c r="Q25" s="129"/>
      <c r="R25" s="52"/>
      <c r="S25" s="55"/>
      <c r="T25" s="132">
        <v>0.5</v>
      </c>
      <c r="U25" s="47">
        <f t="shared" si="8"/>
        <v>0</v>
      </c>
      <c r="V25" s="54">
        <f t="shared" si="0"/>
        <v>0</v>
      </c>
    </row>
    <row r="26" spans="1:22" ht="12.75">
      <c r="A26" s="45" t="s">
        <v>41</v>
      </c>
      <c r="B26" s="122">
        <v>0</v>
      </c>
      <c r="C26" s="46">
        <f t="shared" si="1"/>
        <v>0</v>
      </c>
      <c r="D26" s="47">
        <f t="shared" si="2"/>
        <v>0</v>
      </c>
      <c r="E26" s="47">
        <f t="shared" si="3"/>
        <v>0</v>
      </c>
      <c r="F26" s="48">
        <f t="shared" si="4"/>
        <v>0</v>
      </c>
      <c r="G26" s="48"/>
      <c r="H26" s="49">
        <f t="shared" si="5"/>
        <v>0</v>
      </c>
      <c r="I26" s="50">
        <f t="shared" si="6"/>
        <v>0</v>
      </c>
      <c r="J26" s="51">
        <f t="shared" si="7"/>
        <v>0</v>
      </c>
      <c r="K26" s="123">
        <v>0.92</v>
      </c>
      <c r="L26" s="124">
        <v>0.428</v>
      </c>
      <c r="M26" s="130"/>
      <c r="N26" s="126">
        <v>3.6</v>
      </c>
      <c r="O26" s="125">
        <v>0.13</v>
      </c>
      <c r="P26" s="124">
        <v>0.188</v>
      </c>
      <c r="Q26" s="131">
        <v>590</v>
      </c>
      <c r="R26" s="56"/>
      <c r="S26" s="57"/>
      <c r="T26" s="132">
        <v>0.9</v>
      </c>
      <c r="U26" s="47">
        <f t="shared" si="8"/>
        <v>0</v>
      </c>
      <c r="V26" s="54">
        <f t="shared" si="0"/>
        <v>0</v>
      </c>
    </row>
    <row r="27" spans="1:22" ht="12.75">
      <c r="A27" s="45" t="s">
        <v>57</v>
      </c>
      <c r="B27" s="122">
        <v>2</v>
      </c>
      <c r="C27" s="46">
        <f t="shared" si="1"/>
        <v>0.09858997314234556</v>
      </c>
      <c r="D27" s="47">
        <f t="shared" si="2"/>
        <v>1.762</v>
      </c>
      <c r="E27" s="47">
        <f t="shared" si="3"/>
        <v>2.9432448</v>
      </c>
      <c r="F27" s="48">
        <f t="shared" si="4"/>
        <v>0.28192</v>
      </c>
      <c r="G27" s="48"/>
      <c r="H27" s="49">
        <f t="shared" si="5"/>
        <v>0.06290040286481646</v>
      </c>
      <c r="I27" s="50">
        <f t="shared" si="6"/>
        <v>0</v>
      </c>
      <c r="J27" s="51">
        <f t="shared" si="7"/>
        <v>0.2</v>
      </c>
      <c r="K27" s="123">
        <v>0.881</v>
      </c>
      <c r="L27" s="124">
        <v>0.16</v>
      </c>
      <c r="M27" s="125">
        <v>0.464</v>
      </c>
      <c r="N27" s="126">
        <f>3.6*M27</f>
        <v>1.6704</v>
      </c>
      <c r="O27" s="125">
        <v>0.638</v>
      </c>
      <c r="P27" s="125"/>
      <c r="Q27" s="127">
        <v>100</v>
      </c>
      <c r="R27" s="52">
        <v>4</v>
      </c>
      <c r="S27" s="53">
        <f>+R27*600</f>
        <v>2400</v>
      </c>
      <c r="T27" s="132">
        <v>0.9</v>
      </c>
      <c r="U27" s="47">
        <f t="shared" si="8"/>
        <v>1.9577777777777778</v>
      </c>
      <c r="V27" s="54">
        <f t="shared" si="0"/>
        <v>131.17111111111112</v>
      </c>
    </row>
    <row r="28" spans="1:22" ht="12.75">
      <c r="A28" s="45" t="s">
        <v>42</v>
      </c>
      <c r="B28" s="122">
        <v>0</v>
      </c>
      <c r="C28" s="46">
        <f t="shared" si="1"/>
        <v>0</v>
      </c>
      <c r="D28" s="47">
        <f t="shared" si="2"/>
        <v>0</v>
      </c>
      <c r="E28" s="47">
        <f t="shared" si="3"/>
        <v>0</v>
      </c>
      <c r="F28" s="48">
        <f t="shared" si="4"/>
        <v>0</v>
      </c>
      <c r="G28" s="48"/>
      <c r="H28" s="49">
        <f t="shared" si="5"/>
        <v>0</v>
      </c>
      <c r="I28" s="50">
        <f t="shared" si="6"/>
        <v>0</v>
      </c>
      <c r="J28" s="51">
        <f t="shared" si="7"/>
        <v>0</v>
      </c>
      <c r="K28" s="123">
        <v>0.885</v>
      </c>
      <c r="L28" s="124">
        <v>0.097</v>
      </c>
      <c r="M28" s="125">
        <v>0.541</v>
      </c>
      <c r="N28" s="126">
        <f>3.6*M28</f>
        <v>1.9476000000000002</v>
      </c>
      <c r="O28" s="125">
        <v>0.711</v>
      </c>
      <c r="P28" s="125"/>
      <c r="Q28" s="127">
        <v>150</v>
      </c>
      <c r="R28" s="52">
        <v>36</v>
      </c>
      <c r="S28" s="53">
        <f>+R28*600</f>
        <v>21600</v>
      </c>
      <c r="T28" s="132">
        <v>0.9</v>
      </c>
      <c r="U28" s="47">
        <f t="shared" si="8"/>
        <v>0</v>
      </c>
      <c r="V28" s="54">
        <f t="shared" si="0"/>
        <v>0</v>
      </c>
    </row>
    <row r="29" spans="1:22" ht="12.75">
      <c r="A29" s="45" t="s">
        <v>43</v>
      </c>
      <c r="B29" s="122">
        <v>0</v>
      </c>
      <c r="C29" s="46">
        <f t="shared" si="1"/>
        <v>0</v>
      </c>
      <c r="D29" s="47">
        <f t="shared" si="2"/>
        <v>0</v>
      </c>
      <c r="E29" s="47">
        <f t="shared" si="3"/>
        <v>0</v>
      </c>
      <c r="F29" s="48">
        <f t="shared" si="4"/>
        <v>0</v>
      </c>
      <c r="G29" s="48"/>
      <c r="H29" s="49">
        <f t="shared" si="5"/>
        <v>0</v>
      </c>
      <c r="I29" s="50">
        <f t="shared" si="6"/>
        <v>0</v>
      </c>
      <c r="J29" s="51">
        <f t="shared" si="7"/>
        <v>0</v>
      </c>
      <c r="K29" s="123">
        <v>0.888</v>
      </c>
      <c r="L29" s="124">
        <v>0.056</v>
      </c>
      <c r="M29" s="125">
        <v>0.35</v>
      </c>
      <c r="N29" s="126">
        <f>3.6*M29</f>
        <v>1.26</v>
      </c>
      <c r="O29" s="125">
        <v>0.746</v>
      </c>
      <c r="P29" s="125"/>
      <c r="Q29" s="127">
        <v>100</v>
      </c>
      <c r="R29" s="52">
        <v>42</v>
      </c>
      <c r="S29" s="53">
        <f>+R29*600</f>
        <v>25200</v>
      </c>
      <c r="T29" s="132">
        <v>0.9</v>
      </c>
      <c r="U29" s="47">
        <f t="shared" si="8"/>
        <v>0</v>
      </c>
      <c r="V29" s="54">
        <f t="shared" si="0"/>
        <v>0</v>
      </c>
    </row>
    <row r="30" spans="1:22" ht="12.75">
      <c r="A30" s="45" t="s">
        <v>44</v>
      </c>
      <c r="B30" s="122">
        <v>0</v>
      </c>
      <c r="C30" s="46">
        <f>IF($D$38&lt;&gt;0,D30/$D$38,0)</f>
        <v>0</v>
      </c>
      <c r="D30" s="47">
        <f>B30*K30</f>
        <v>0</v>
      </c>
      <c r="E30" s="47">
        <f>D30*N30</f>
        <v>0</v>
      </c>
      <c r="F30" s="48">
        <f>D30*L30</f>
        <v>0</v>
      </c>
      <c r="G30" s="48"/>
      <c r="H30" s="49">
        <f>IF($D$38&lt;&gt;0,D30*O30/$D$38,0)</f>
        <v>0</v>
      </c>
      <c r="I30" s="50">
        <f>IF($D$38&lt;&gt;0,D30*P30/$D$38,0)</f>
        <v>0</v>
      </c>
      <c r="J30" s="51">
        <f>B30*Q30/1000</f>
        <v>0</v>
      </c>
      <c r="K30" s="123">
        <v>0.85</v>
      </c>
      <c r="L30" s="124">
        <v>0.05</v>
      </c>
      <c r="M30" s="125">
        <v>0.4</v>
      </c>
      <c r="N30" s="126">
        <f>3.6*M30</f>
        <v>1.4400000000000002</v>
      </c>
      <c r="O30" s="125">
        <v>0.69</v>
      </c>
      <c r="P30" s="125"/>
      <c r="Q30" s="127"/>
      <c r="R30" s="52">
        <v>42</v>
      </c>
      <c r="S30" s="53">
        <f>+R30*600</f>
        <v>25200</v>
      </c>
      <c r="T30" s="132">
        <v>0.9</v>
      </c>
      <c r="U30" s="47">
        <f>D30/T30</f>
        <v>0</v>
      </c>
      <c r="V30" s="54">
        <f t="shared" si="0"/>
        <v>0</v>
      </c>
    </row>
    <row r="31" spans="1:22" ht="12.75">
      <c r="A31" s="45" t="s">
        <v>45</v>
      </c>
      <c r="B31" s="122">
        <v>1</v>
      </c>
      <c r="C31" s="46">
        <f t="shared" si="1"/>
        <v>0.051477170993733216</v>
      </c>
      <c r="D31" s="47">
        <f t="shared" si="2"/>
        <v>0.92</v>
      </c>
      <c r="E31" s="47">
        <f t="shared" si="3"/>
        <v>3.496</v>
      </c>
      <c r="F31" s="48">
        <f t="shared" si="4"/>
        <v>0.20792000000000002</v>
      </c>
      <c r="G31" s="48"/>
      <c r="H31" s="49">
        <f t="shared" si="5"/>
        <v>0.022649955237242614</v>
      </c>
      <c r="I31" s="50">
        <f t="shared" si="6"/>
        <v>0.009420322291853179</v>
      </c>
      <c r="J31" s="51">
        <f t="shared" si="7"/>
        <v>0.3</v>
      </c>
      <c r="K31" s="123">
        <v>0.92</v>
      </c>
      <c r="L31" s="124">
        <v>0.226</v>
      </c>
      <c r="M31" s="125"/>
      <c r="N31" s="126">
        <v>3.8</v>
      </c>
      <c r="O31" s="125">
        <v>0.44</v>
      </c>
      <c r="P31" s="124">
        <v>0.183</v>
      </c>
      <c r="Q31" s="127">
        <v>300</v>
      </c>
      <c r="R31" s="52"/>
      <c r="S31" s="53"/>
      <c r="T31" s="132">
        <v>0.9</v>
      </c>
      <c r="U31" s="47">
        <f t="shared" si="8"/>
        <v>1.0222222222222221</v>
      </c>
      <c r="V31" s="54">
        <f t="shared" si="0"/>
        <v>68.48888888888888</v>
      </c>
    </row>
    <row r="32" spans="1:22" ht="12.75">
      <c r="A32" s="45" t="s">
        <v>46</v>
      </c>
      <c r="B32" s="122">
        <v>0</v>
      </c>
      <c r="C32" s="46">
        <f t="shared" si="1"/>
        <v>0</v>
      </c>
      <c r="D32" s="47">
        <f t="shared" si="2"/>
        <v>0</v>
      </c>
      <c r="E32" s="47">
        <f t="shared" si="3"/>
        <v>0</v>
      </c>
      <c r="F32" s="48">
        <f t="shared" si="4"/>
        <v>0</v>
      </c>
      <c r="G32" s="48"/>
      <c r="H32" s="49">
        <f t="shared" si="5"/>
        <v>0</v>
      </c>
      <c r="I32" s="50">
        <f t="shared" si="6"/>
        <v>0</v>
      </c>
      <c r="J32" s="51">
        <f t="shared" si="7"/>
        <v>0</v>
      </c>
      <c r="K32" s="123">
        <v>0.216</v>
      </c>
      <c r="L32" s="124">
        <v>0.218</v>
      </c>
      <c r="M32" s="125">
        <v>0.625</v>
      </c>
      <c r="N32" s="126">
        <f>3.6*M32</f>
        <v>2.25</v>
      </c>
      <c r="O32" s="125">
        <v>0.446</v>
      </c>
      <c r="P32" s="125"/>
      <c r="Q32" s="127"/>
      <c r="R32" s="52"/>
      <c r="S32" s="53"/>
      <c r="T32" s="132">
        <v>0.85</v>
      </c>
      <c r="U32" s="47">
        <f t="shared" si="8"/>
        <v>0</v>
      </c>
      <c r="V32" s="54">
        <f t="shared" si="0"/>
        <v>0</v>
      </c>
    </row>
    <row r="33" spans="1:22" ht="12.75">
      <c r="A33" s="45" t="s">
        <v>47</v>
      </c>
      <c r="B33" s="122">
        <v>8</v>
      </c>
      <c r="C33" s="46">
        <f t="shared" si="1"/>
        <v>0.1387645478961504</v>
      </c>
      <c r="D33" s="47">
        <f t="shared" si="2"/>
        <v>2.48</v>
      </c>
      <c r="E33" s="47">
        <f t="shared" si="3"/>
        <v>5.213952</v>
      </c>
      <c r="F33" s="48">
        <f t="shared" si="4"/>
        <v>0.19592</v>
      </c>
      <c r="G33" s="48"/>
      <c r="H33" s="49">
        <f t="shared" si="5"/>
        <v>0.07271262309758281</v>
      </c>
      <c r="I33" s="50">
        <f t="shared" si="6"/>
        <v>0</v>
      </c>
      <c r="J33" s="51">
        <f t="shared" si="7"/>
        <v>1.6</v>
      </c>
      <c r="K33" s="123">
        <v>0.31</v>
      </c>
      <c r="L33" s="124">
        <v>0.079</v>
      </c>
      <c r="M33" s="125">
        <v>0.584</v>
      </c>
      <c r="N33" s="126">
        <f>3.6*M33</f>
        <v>2.1024</v>
      </c>
      <c r="O33" s="125">
        <v>0.524</v>
      </c>
      <c r="P33" s="125"/>
      <c r="Q33" s="127">
        <v>200</v>
      </c>
      <c r="R33" s="52"/>
      <c r="S33" s="53"/>
      <c r="T33" s="132">
        <v>0.8</v>
      </c>
      <c r="U33" s="47">
        <f t="shared" si="8"/>
        <v>3.0999999999999996</v>
      </c>
      <c r="V33" s="54">
        <f t="shared" si="0"/>
        <v>207.7</v>
      </c>
    </row>
    <row r="34" spans="1:22" ht="12.75">
      <c r="A34" s="45" t="s">
        <v>48</v>
      </c>
      <c r="B34" s="122">
        <v>0</v>
      </c>
      <c r="C34" s="46">
        <f t="shared" si="1"/>
        <v>0</v>
      </c>
      <c r="D34" s="47">
        <f t="shared" si="2"/>
        <v>0</v>
      </c>
      <c r="E34" s="47">
        <f t="shared" si="3"/>
        <v>0</v>
      </c>
      <c r="F34" s="48">
        <f t="shared" si="4"/>
        <v>0</v>
      </c>
      <c r="G34" s="48"/>
      <c r="H34" s="49">
        <f t="shared" si="5"/>
        <v>0</v>
      </c>
      <c r="I34" s="50">
        <f t="shared" si="6"/>
        <v>0</v>
      </c>
      <c r="J34" s="51">
        <f t="shared" si="7"/>
        <v>0</v>
      </c>
      <c r="K34" s="123">
        <v>0.2</v>
      </c>
      <c r="L34" s="124">
        <v>0.169</v>
      </c>
      <c r="M34" s="125">
        <v>0.75</v>
      </c>
      <c r="N34" s="126">
        <f>3.6*M34</f>
        <v>2.7</v>
      </c>
      <c r="O34" s="125"/>
      <c r="P34" s="125"/>
      <c r="Q34" s="127"/>
      <c r="R34" s="52">
        <v>19</v>
      </c>
      <c r="S34" s="53">
        <f>+R34*3500</f>
        <v>66500</v>
      </c>
      <c r="T34" s="132">
        <v>0.7</v>
      </c>
      <c r="U34" s="47">
        <f t="shared" si="8"/>
        <v>0</v>
      </c>
      <c r="V34" s="54">
        <f t="shared" si="0"/>
        <v>0</v>
      </c>
    </row>
    <row r="35" spans="1:22" ht="12.75">
      <c r="A35" s="45" t="s">
        <v>58</v>
      </c>
      <c r="B35" s="122">
        <v>19.8</v>
      </c>
      <c r="C35" s="46">
        <f t="shared" si="1"/>
        <v>0.22157564905998212</v>
      </c>
      <c r="D35" s="47">
        <f t="shared" si="2"/>
        <v>3.9600000000000004</v>
      </c>
      <c r="E35" s="47">
        <f t="shared" si="3"/>
        <v>9.266400000000003</v>
      </c>
      <c r="F35" s="48">
        <f t="shared" si="4"/>
        <v>1.0296</v>
      </c>
      <c r="G35" s="48"/>
      <c r="H35" s="49">
        <f t="shared" si="5"/>
        <v>0.10192479856759178</v>
      </c>
      <c r="I35" s="50">
        <f t="shared" si="6"/>
        <v>0</v>
      </c>
      <c r="J35" s="51">
        <f t="shared" si="7"/>
        <v>1.584</v>
      </c>
      <c r="K35" s="123">
        <v>0.2</v>
      </c>
      <c r="L35" s="124">
        <v>0.26</v>
      </c>
      <c r="M35" s="125">
        <v>0.65</v>
      </c>
      <c r="N35" s="126">
        <f>3.6*M35</f>
        <v>2.3400000000000003</v>
      </c>
      <c r="O35" s="125">
        <v>0.46</v>
      </c>
      <c r="P35" s="125"/>
      <c r="Q35" s="127">
        <v>80</v>
      </c>
      <c r="R35" s="52"/>
      <c r="S35" s="53"/>
      <c r="T35" s="132">
        <v>0.8</v>
      </c>
      <c r="U35" s="47">
        <f t="shared" si="8"/>
        <v>4.95</v>
      </c>
      <c r="V35" s="54">
        <f t="shared" si="0"/>
        <v>331.65000000000003</v>
      </c>
    </row>
    <row r="36" spans="1:22" ht="12.75">
      <c r="A36" s="45" t="s">
        <v>59</v>
      </c>
      <c r="B36" s="122">
        <v>1.5</v>
      </c>
      <c r="C36" s="46">
        <f>IF($D$38&lt;&gt;0,D36/$D$38,0)</f>
        <v>0.07553715308863027</v>
      </c>
      <c r="D36" s="47">
        <f>B36*K36</f>
        <v>1.35</v>
      </c>
      <c r="E36" s="47">
        <f>D36*N36</f>
        <v>3.9825000000000004</v>
      </c>
      <c r="F36" s="48">
        <f>D36*L36</f>
        <v>0.486</v>
      </c>
      <c r="G36" s="48"/>
      <c r="H36" s="49">
        <f>IF($D$38&lt;&gt;0,D36*O36/$D$38,0)</f>
        <v>0.027722135183527306</v>
      </c>
      <c r="I36" s="50">
        <f>IF($D$38&lt;&gt;0,D36*P36/$D$38,0)</f>
        <v>0.005725716204118175</v>
      </c>
      <c r="J36" s="51">
        <f>B36*Q36/1000</f>
        <v>1.5</v>
      </c>
      <c r="K36" s="123">
        <v>0.9</v>
      </c>
      <c r="L36" s="124">
        <v>0.36</v>
      </c>
      <c r="M36" s="125"/>
      <c r="N36" s="126">
        <v>2.95</v>
      </c>
      <c r="O36" s="125">
        <v>0.367</v>
      </c>
      <c r="P36" s="125">
        <v>0.0758</v>
      </c>
      <c r="Q36" s="127">
        <v>1000</v>
      </c>
      <c r="R36" s="52"/>
      <c r="S36" s="53"/>
      <c r="T36" s="132">
        <v>0.8</v>
      </c>
      <c r="U36" s="47">
        <f>D36/T36</f>
        <v>1.6875</v>
      </c>
      <c r="V36" s="54">
        <f t="shared" si="0"/>
        <v>113.0625</v>
      </c>
    </row>
    <row r="37" spans="1:22" ht="12.75">
      <c r="A37" s="45" t="s">
        <v>49</v>
      </c>
      <c r="B37" s="122">
        <v>4</v>
      </c>
      <c r="C37" s="46">
        <f t="shared" si="1"/>
        <v>0.06714413607878245</v>
      </c>
      <c r="D37" s="47">
        <f t="shared" si="2"/>
        <v>1.2</v>
      </c>
      <c r="E37" s="47">
        <f t="shared" si="3"/>
        <v>2.28</v>
      </c>
      <c r="F37" s="48">
        <f t="shared" si="4"/>
        <v>0.084</v>
      </c>
      <c r="G37" s="48"/>
      <c r="H37" s="49">
        <f t="shared" si="5"/>
        <v>0.04632945389435989</v>
      </c>
      <c r="I37" s="50">
        <f t="shared" si="6"/>
        <v>0.0014771709937332139</v>
      </c>
      <c r="J37" s="51">
        <f t="shared" si="7"/>
        <v>0.6</v>
      </c>
      <c r="K37" s="123">
        <v>0.3</v>
      </c>
      <c r="L37" s="124">
        <v>0.07</v>
      </c>
      <c r="M37" s="125">
        <v>0.55</v>
      </c>
      <c r="N37" s="126">
        <v>1.9</v>
      </c>
      <c r="O37" s="125">
        <v>0.69</v>
      </c>
      <c r="P37" s="125">
        <v>0.022</v>
      </c>
      <c r="Q37" s="127">
        <v>150</v>
      </c>
      <c r="R37" s="52">
        <v>6.6</v>
      </c>
      <c r="S37" s="53">
        <v>40000</v>
      </c>
      <c r="T37" s="132">
        <v>0.4</v>
      </c>
      <c r="U37" s="47">
        <f t="shared" si="8"/>
        <v>2.9999999999999996</v>
      </c>
      <c r="V37" s="54">
        <f t="shared" si="0"/>
        <v>200.99999999999997</v>
      </c>
    </row>
    <row r="38" spans="1:22" ht="12.75">
      <c r="A38" s="58" t="s">
        <v>50</v>
      </c>
      <c r="B38" s="59">
        <f>SUM(B20:B37)</f>
        <v>43.3</v>
      </c>
      <c r="C38" s="60"/>
      <c r="D38" s="61">
        <f aca="true" t="shared" si="9" ref="D38:J38">SUM(D20:D37)</f>
        <v>17.872</v>
      </c>
      <c r="E38" s="61">
        <f t="shared" si="9"/>
        <v>46.587296800000004</v>
      </c>
      <c r="F38" s="62">
        <f t="shared" si="9"/>
        <v>3.1141400000000004</v>
      </c>
      <c r="G38" s="62"/>
      <c r="H38" s="24">
        <f t="shared" si="9"/>
        <v>0.3901749104744852</v>
      </c>
      <c r="I38" s="63">
        <f t="shared" si="9"/>
        <v>0.031745188003581025</v>
      </c>
      <c r="J38" s="64">
        <f t="shared" si="9"/>
        <v>8.049</v>
      </c>
      <c r="K38" s="65"/>
      <c r="L38" s="66"/>
      <c r="M38" s="66"/>
      <c r="N38" s="66"/>
      <c r="O38" s="66"/>
      <c r="P38" s="66"/>
      <c r="Q38" s="67"/>
      <c r="R38" s="65"/>
      <c r="S38" s="67"/>
      <c r="T38" s="65"/>
      <c r="U38" s="61">
        <f>SUM(U20:U37)</f>
        <v>23.424166666666668</v>
      </c>
      <c r="V38" s="68"/>
    </row>
    <row r="41" spans="1:7" ht="12.75">
      <c r="A41" s="1" t="s">
        <v>0</v>
      </c>
      <c r="B41" s="2" t="s">
        <v>1</v>
      </c>
      <c r="C41" s="2" t="s">
        <v>2</v>
      </c>
      <c r="D41" s="2" t="s">
        <v>3</v>
      </c>
      <c r="E41" s="2" t="s">
        <v>4</v>
      </c>
      <c r="F41" s="2" t="s">
        <v>5</v>
      </c>
      <c r="G41" s="75" t="s">
        <v>6</v>
      </c>
    </row>
    <row r="42" spans="1:22" ht="12.75">
      <c r="A42" s="119" t="s">
        <v>56</v>
      </c>
      <c r="B42" s="120">
        <v>550</v>
      </c>
      <c r="C42" s="120">
        <v>14.9</v>
      </c>
      <c r="D42" s="6">
        <f>IF(C42&gt;=18,B42*0.022+C42*0.2,B42*0.025+0.1*C42)</f>
        <v>15.24</v>
      </c>
      <c r="E42" s="42">
        <v>3.95</v>
      </c>
      <c r="F42" s="133">
        <v>1.1</v>
      </c>
      <c r="G42" s="133">
        <v>0.2</v>
      </c>
      <c r="H42" s="101"/>
      <c r="I42" s="102"/>
      <c r="J42" s="103"/>
      <c r="K42" s="7" t="s">
        <v>7</v>
      </c>
      <c r="L42" s="8" t="s">
        <v>8</v>
      </c>
      <c r="M42" s="9" t="s">
        <v>9</v>
      </c>
      <c r="T42" s="5"/>
      <c r="U42" s="8" t="s">
        <v>8</v>
      </c>
      <c r="V42" s="9" t="s">
        <v>9</v>
      </c>
    </row>
    <row r="43" spans="1:22" ht="12.75">
      <c r="A43" s="10"/>
      <c r="B43" s="10"/>
      <c r="C43" s="10"/>
      <c r="D43" s="10"/>
      <c r="H43" s="104" t="s">
        <v>10</v>
      </c>
      <c r="I43" s="105"/>
      <c r="J43" s="106"/>
      <c r="K43" s="11">
        <f>+D71</f>
        <v>16.022000000000002</v>
      </c>
      <c r="L43" s="12">
        <f>+E71</f>
        <v>43.445444800000004</v>
      </c>
      <c r="M43" s="13">
        <f>+F71</f>
        <v>3.01836</v>
      </c>
      <c r="T43" s="17"/>
      <c r="U43" s="18">
        <f>(3.25+0.02*$B$9)*$F$9+(0.544+0.147*$E$9)*$C$9</f>
        <v>47.58605610000001</v>
      </c>
      <c r="V43" s="18">
        <f>(0.13+0.001*$B$9)*$F$9+(0.046+0.008*$E$9)*$C$9</f>
        <v>2.9684704</v>
      </c>
    </row>
    <row r="44" spans="1:22" ht="12.75">
      <c r="A44" s="74" t="s">
        <v>61</v>
      </c>
      <c r="B44" s="75" t="s">
        <v>60</v>
      </c>
      <c r="D44" s="10"/>
      <c r="H44" s="107" t="s">
        <v>11</v>
      </c>
      <c r="I44" s="108"/>
      <c r="J44" s="108"/>
      <c r="K44" s="14">
        <f>+D42</f>
        <v>15.24</v>
      </c>
      <c r="L44" s="15">
        <f>+U47</f>
        <v>45.93605610000001</v>
      </c>
      <c r="M44" s="16">
        <f>+V47</f>
        <v>2.9044704</v>
      </c>
      <c r="T44" s="17"/>
      <c r="U44" s="18">
        <f>IF($G$9&gt;0,($U$10+8.55*$G$9),($U$10+8.25*$G$9))</f>
        <v>45.93605610000001</v>
      </c>
      <c r="V44" s="22">
        <f>IF($G$9&gt;0,($V$10+0.5*$G$9),($V$10+0.32*$G$9))</f>
        <v>2.9044704</v>
      </c>
    </row>
    <row r="45" spans="1:22" ht="12.75">
      <c r="A45" s="120">
        <v>51</v>
      </c>
      <c r="B45" s="120">
        <v>2</v>
      </c>
      <c r="D45" s="10"/>
      <c r="H45" s="93" t="s">
        <v>12</v>
      </c>
      <c r="I45" s="94"/>
      <c r="J45" s="95"/>
      <c r="K45" s="19">
        <f>+K43-K44</f>
        <v>0.7820000000000018</v>
      </c>
      <c r="L45" s="20">
        <f>+L43-L44</f>
        <v>-2.4906113000000047</v>
      </c>
      <c r="M45" s="21">
        <f>+M43-M44</f>
        <v>0.11388959999999981</v>
      </c>
      <c r="T45" s="17"/>
      <c r="U45" s="10"/>
      <c r="V45" s="26"/>
    </row>
    <row r="46" spans="1:22" ht="13.5" thickBot="1">
      <c r="A46" s="71" t="s">
        <v>68</v>
      </c>
      <c r="B46" s="134">
        <f>B47/(B48*B49)</f>
        <v>0.4683072334079046</v>
      </c>
      <c r="D46" s="10"/>
      <c r="H46" s="96" t="s">
        <v>13</v>
      </c>
      <c r="I46" s="97"/>
      <c r="J46" s="98"/>
      <c r="K46" s="23">
        <f>+K45/K44</f>
        <v>0.05131233595800537</v>
      </c>
      <c r="L46" s="24">
        <f>+L45/L44</f>
        <v>-0.05421909304921813</v>
      </c>
      <c r="M46" s="25">
        <f>+M45/M44</f>
        <v>0.039211830149826904</v>
      </c>
      <c r="T46" s="27"/>
      <c r="U46" s="28"/>
      <c r="V46" s="29"/>
    </row>
    <row r="47" spans="1:22" ht="13.5" thickTop="1">
      <c r="A47" s="71" t="s">
        <v>51</v>
      </c>
      <c r="B47" s="72">
        <f>J71</f>
        <v>6.28</v>
      </c>
      <c r="D47" s="10"/>
      <c r="T47" s="35" t="s">
        <v>55</v>
      </c>
      <c r="U47" s="36">
        <f>$U$11</f>
        <v>45.93605610000001</v>
      </c>
      <c r="V47" s="37">
        <f>$V$11</f>
        <v>2.9044704</v>
      </c>
    </row>
    <row r="48" spans="1:13" ht="12.75">
      <c r="A48" s="71" t="s">
        <v>52</v>
      </c>
      <c r="B48" s="70">
        <f>C42</f>
        <v>14.9</v>
      </c>
      <c r="D48" s="10"/>
      <c r="I48" s="30"/>
      <c r="J48" s="31" t="s">
        <v>14</v>
      </c>
      <c r="K48" s="32">
        <f>+L43/K43</f>
        <v>2.711611833728623</v>
      </c>
      <c r="L48" s="33" t="s">
        <v>15</v>
      </c>
      <c r="M48" s="34"/>
    </row>
    <row r="49" spans="1:13" ht="12.75">
      <c r="A49" s="71" t="s">
        <v>53</v>
      </c>
      <c r="B49" s="70">
        <v>0.9</v>
      </c>
      <c r="D49" s="10"/>
      <c r="E49" s="10"/>
      <c r="I49" s="38"/>
      <c r="K49" s="39">
        <f>+M43/K43</f>
        <v>0.18838846585944324</v>
      </c>
      <c r="L49" s="40" t="s">
        <v>16</v>
      </c>
      <c r="M49" s="41"/>
    </row>
    <row r="50" spans="1:2" ht="12.75">
      <c r="A50" s="71" t="s">
        <v>54</v>
      </c>
      <c r="B50" s="73">
        <f>B48*B49-B47</f>
        <v>7.13</v>
      </c>
    </row>
    <row r="51" spans="1:22" ht="12.75">
      <c r="A51" s="99" t="s">
        <v>17</v>
      </c>
      <c r="B51" s="90" t="s">
        <v>18</v>
      </c>
      <c r="C51" s="91"/>
      <c r="D51" s="91"/>
      <c r="E51" s="91"/>
      <c r="F51" s="91"/>
      <c r="G51" s="91"/>
      <c r="H51" s="91"/>
      <c r="I51" s="91"/>
      <c r="J51" s="92"/>
      <c r="K51" s="90" t="s">
        <v>19</v>
      </c>
      <c r="L51" s="91"/>
      <c r="M51" s="91"/>
      <c r="N51" s="91"/>
      <c r="O51" s="91"/>
      <c r="P51" s="91"/>
      <c r="Q51" s="92"/>
      <c r="R51" s="90" t="s">
        <v>20</v>
      </c>
      <c r="S51" s="92"/>
      <c r="T51" s="90" t="s">
        <v>21</v>
      </c>
      <c r="U51" s="91"/>
      <c r="V51" s="92"/>
    </row>
    <row r="52" spans="1:22" ht="12.75">
      <c r="A52" s="100"/>
      <c r="B52" s="43" t="s">
        <v>22</v>
      </c>
      <c r="C52" s="3" t="s">
        <v>23</v>
      </c>
      <c r="D52" s="3" t="s">
        <v>7</v>
      </c>
      <c r="E52" s="3" t="s">
        <v>8</v>
      </c>
      <c r="F52" s="3" t="s">
        <v>9</v>
      </c>
      <c r="G52" s="3"/>
      <c r="H52" s="3" t="s">
        <v>24</v>
      </c>
      <c r="I52" s="3" t="s">
        <v>25</v>
      </c>
      <c r="J52" s="4" t="s">
        <v>26</v>
      </c>
      <c r="K52" s="43" t="s">
        <v>27</v>
      </c>
      <c r="L52" s="3" t="s">
        <v>9</v>
      </c>
      <c r="M52" s="3" t="s">
        <v>28</v>
      </c>
      <c r="N52" s="3" t="s">
        <v>8</v>
      </c>
      <c r="O52" s="3" t="s">
        <v>24</v>
      </c>
      <c r="P52" s="3" t="s">
        <v>25</v>
      </c>
      <c r="Q52" s="4" t="s">
        <v>29</v>
      </c>
      <c r="R52" s="43" t="s">
        <v>30</v>
      </c>
      <c r="S52" s="4" t="s">
        <v>31</v>
      </c>
      <c r="T52" s="43" t="s">
        <v>32</v>
      </c>
      <c r="U52" s="3" t="s">
        <v>33</v>
      </c>
      <c r="V52" s="44" t="s">
        <v>34</v>
      </c>
    </row>
    <row r="53" spans="1:22" ht="12.75">
      <c r="A53" s="45" t="s">
        <v>35</v>
      </c>
      <c r="B53" s="122">
        <v>0</v>
      </c>
      <c r="C53" s="46">
        <f aca="true" t="shared" si="10" ref="C53:C70">IF($D$38&lt;&gt;0,D53/$D$38,0)</f>
        <v>0</v>
      </c>
      <c r="D53" s="47">
        <f aca="true" t="shared" si="11" ref="D53:D70">B53*K53</f>
        <v>0</v>
      </c>
      <c r="E53" s="47">
        <f>D53*N53</f>
        <v>0</v>
      </c>
      <c r="F53" s="48">
        <f aca="true" t="shared" si="12" ref="F53:F70">D53*L53</f>
        <v>0</v>
      </c>
      <c r="G53" s="48"/>
      <c r="H53" s="49">
        <f aca="true" t="shared" si="13" ref="H53:H70">IF($D$38&lt;&gt;0,D53*O53/$D$38,0)</f>
        <v>0</v>
      </c>
      <c r="I53" s="50">
        <f aca="true" t="shared" si="14" ref="I53:I70">IF($D$38&lt;&gt;0,D53*P53/$D$38,0)</f>
        <v>0</v>
      </c>
      <c r="J53" s="51">
        <f aca="true" t="shared" si="15" ref="J53:J70">B53*Q53/1000</f>
        <v>0</v>
      </c>
      <c r="K53" s="123">
        <v>0.872</v>
      </c>
      <c r="L53" s="124">
        <v>0.168</v>
      </c>
      <c r="M53" s="125"/>
      <c r="N53" s="126">
        <v>2.7</v>
      </c>
      <c r="O53" s="125">
        <v>0.518</v>
      </c>
      <c r="P53" s="124">
        <v>0.0471</v>
      </c>
      <c r="Q53" s="127">
        <v>285</v>
      </c>
      <c r="R53" s="52"/>
      <c r="S53" s="53"/>
      <c r="T53" s="132">
        <v>0.9</v>
      </c>
      <c r="U53" s="47">
        <f>D53/T53</f>
        <v>0</v>
      </c>
      <c r="V53" s="54">
        <f aca="true" t="shared" si="16" ref="V53:V70">+(U53*$A$12)</f>
        <v>0</v>
      </c>
    </row>
    <row r="54" spans="1:22" ht="12.75">
      <c r="A54" s="45" t="s">
        <v>36</v>
      </c>
      <c r="B54" s="122">
        <v>1</v>
      </c>
      <c r="C54" s="46">
        <f t="shared" si="10"/>
        <v>0.051477170993733216</v>
      </c>
      <c r="D54" s="47">
        <f t="shared" si="11"/>
        <v>0.92</v>
      </c>
      <c r="E54" s="47">
        <f>D54*N54</f>
        <v>1.9872000000000003</v>
      </c>
      <c r="F54" s="48">
        <f t="shared" si="12"/>
        <v>0.2898</v>
      </c>
      <c r="G54" s="48"/>
      <c r="H54" s="49">
        <f t="shared" si="13"/>
        <v>0.025223813786929276</v>
      </c>
      <c r="I54" s="50">
        <f t="shared" si="14"/>
        <v>0.004221128021486124</v>
      </c>
      <c r="J54" s="51">
        <f t="shared" si="15"/>
        <v>0.3</v>
      </c>
      <c r="K54" s="123">
        <v>0.92</v>
      </c>
      <c r="L54" s="124">
        <v>0.315</v>
      </c>
      <c r="M54" s="125"/>
      <c r="N54" s="126">
        <v>2.16</v>
      </c>
      <c r="O54" s="125">
        <v>0.49</v>
      </c>
      <c r="P54" s="124">
        <v>0.082</v>
      </c>
      <c r="Q54" s="127">
        <v>300</v>
      </c>
      <c r="R54" s="52"/>
      <c r="S54" s="53"/>
      <c r="T54" s="132">
        <v>0.5</v>
      </c>
      <c r="U54" s="47">
        <f>D54/T54</f>
        <v>1.84</v>
      </c>
      <c r="V54" s="54">
        <f t="shared" si="16"/>
        <v>123.28</v>
      </c>
    </row>
    <row r="55" spans="1:22" ht="12.75">
      <c r="A55" s="45" t="s">
        <v>37</v>
      </c>
      <c r="B55" s="122">
        <v>0</v>
      </c>
      <c r="C55" s="46">
        <f t="shared" si="10"/>
        <v>0</v>
      </c>
      <c r="D55" s="47">
        <f t="shared" si="11"/>
        <v>0</v>
      </c>
      <c r="E55" s="47">
        <f>D55*N55</f>
        <v>0</v>
      </c>
      <c r="F55" s="48">
        <f t="shared" si="12"/>
        <v>0</v>
      </c>
      <c r="G55" s="48"/>
      <c r="H55" s="49">
        <f t="shared" si="13"/>
        <v>0</v>
      </c>
      <c r="I55" s="50">
        <f t="shared" si="14"/>
        <v>0</v>
      </c>
      <c r="J55" s="51">
        <f t="shared" si="15"/>
        <v>0</v>
      </c>
      <c r="K55" s="123">
        <v>0.9</v>
      </c>
      <c r="L55" s="124">
        <v>0.441</v>
      </c>
      <c r="M55" s="125"/>
      <c r="N55" s="126">
        <v>3.34</v>
      </c>
      <c r="O55" s="125">
        <v>0.14</v>
      </c>
      <c r="P55" s="124">
        <v>0.053</v>
      </c>
      <c r="Q55" s="127">
        <v>300</v>
      </c>
      <c r="R55" s="52"/>
      <c r="S55" s="53"/>
      <c r="T55" s="132">
        <v>0.9</v>
      </c>
      <c r="U55" s="47">
        <f>D55/T55</f>
        <v>0</v>
      </c>
      <c r="V55" s="54">
        <f t="shared" si="16"/>
        <v>0</v>
      </c>
    </row>
    <row r="56" spans="1:22" ht="12.75">
      <c r="A56" s="45" t="s">
        <v>38</v>
      </c>
      <c r="B56" s="122">
        <v>4</v>
      </c>
      <c r="C56" s="46">
        <f t="shared" si="10"/>
        <v>0.19471799462846912</v>
      </c>
      <c r="D56" s="47">
        <f t="shared" si="11"/>
        <v>3.48</v>
      </c>
      <c r="E56" s="47">
        <f aca="true" t="shared" si="17" ref="E56:E62">D56*N56</f>
        <v>11.831999999999999</v>
      </c>
      <c r="F56" s="48">
        <f t="shared" si="12"/>
        <v>0.3306</v>
      </c>
      <c r="G56" s="48"/>
      <c r="H56" s="49">
        <f t="shared" si="13"/>
        <v>0.021029543419874664</v>
      </c>
      <c r="I56" s="50">
        <f t="shared" si="14"/>
        <v>0.00895702775290958</v>
      </c>
      <c r="J56" s="51">
        <f t="shared" si="15"/>
        <v>1.42</v>
      </c>
      <c r="K56" s="123">
        <v>0.87</v>
      </c>
      <c r="L56" s="124">
        <v>0.095</v>
      </c>
      <c r="M56" s="125"/>
      <c r="N56" s="126">
        <v>3.4</v>
      </c>
      <c r="O56" s="125">
        <v>0.108</v>
      </c>
      <c r="P56" s="124">
        <v>0.046</v>
      </c>
      <c r="Q56" s="127">
        <v>355</v>
      </c>
      <c r="R56" s="52"/>
      <c r="S56" s="53"/>
      <c r="T56" s="132">
        <v>0.9</v>
      </c>
      <c r="U56" s="47">
        <f aca="true" t="shared" si="18" ref="U56:U62">D56/T56</f>
        <v>3.8666666666666667</v>
      </c>
      <c r="V56" s="54">
        <f t="shared" si="16"/>
        <v>259.06666666666666</v>
      </c>
    </row>
    <row r="57" spans="1:22" ht="12.75">
      <c r="A57" s="45" t="s">
        <v>39</v>
      </c>
      <c r="B57" s="122">
        <v>4</v>
      </c>
      <c r="C57" s="46">
        <f t="shared" si="10"/>
        <v>0.19919427036705462</v>
      </c>
      <c r="D57" s="47">
        <f t="shared" si="11"/>
        <v>3.56</v>
      </c>
      <c r="E57" s="47">
        <f t="shared" si="17"/>
        <v>11.392000000000001</v>
      </c>
      <c r="F57" s="48">
        <f t="shared" si="12"/>
        <v>0.38804</v>
      </c>
      <c r="G57" s="48"/>
      <c r="H57" s="49">
        <f t="shared" si="13"/>
        <v>0.019919427036705465</v>
      </c>
      <c r="I57" s="50">
        <f t="shared" si="14"/>
        <v>0.005577439570277529</v>
      </c>
      <c r="J57" s="51">
        <f t="shared" si="15"/>
        <v>1.2</v>
      </c>
      <c r="K57" s="123">
        <v>0.89</v>
      </c>
      <c r="L57" s="124">
        <v>0.109</v>
      </c>
      <c r="M57" s="125"/>
      <c r="N57" s="126">
        <v>3.2</v>
      </c>
      <c r="O57" s="125">
        <v>0.1</v>
      </c>
      <c r="P57" s="124">
        <v>0.028</v>
      </c>
      <c r="Q57" s="127">
        <v>300</v>
      </c>
      <c r="R57" s="52"/>
      <c r="S57" s="53"/>
      <c r="T57" s="132">
        <v>0.9</v>
      </c>
      <c r="U57" s="47">
        <f t="shared" si="18"/>
        <v>3.9555555555555557</v>
      </c>
      <c r="V57" s="54">
        <f t="shared" si="16"/>
        <v>265.02222222222224</v>
      </c>
    </row>
    <row r="58" spans="1:22" ht="12.75">
      <c r="A58" s="45" t="s">
        <v>40</v>
      </c>
      <c r="B58" s="122">
        <v>0</v>
      </c>
      <c r="C58" s="46">
        <f t="shared" si="10"/>
        <v>0</v>
      </c>
      <c r="D58" s="47">
        <f t="shared" si="11"/>
        <v>0</v>
      </c>
      <c r="E58" s="47">
        <f t="shared" si="17"/>
        <v>0</v>
      </c>
      <c r="F58" s="48">
        <f t="shared" si="12"/>
        <v>0</v>
      </c>
      <c r="G58" s="48"/>
      <c r="H58" s="49">
        <f t="shared" si="13"/>
        <v>0</v>
      </c>
      <c r="I58" s="50">
        <f t="shared" si="14"/>
        <v>0</v>
      </c>
      <c r="J58" s="51">
        <f t="shared" si="15"/>
        <v>0</v>
      </c>
      <c r="K58" s="123">
        <v>0.2</v>
      </c>
      <c r="L58" s="124">
        <v>0.11</v>
      </c>
      <c r="M58" s="125">
        <v>0.5</v>
      </c>
      <c r="N58" s="126">
        <f>3.6*M58</f>
        <v>1.8</v>
      </c>
      <c r="O58" s="128"/>
      <c r="P58" s="128"/>
      <c r="Q58" s="129"/>
      <c r="R58" s="52"/>
      <c r="S58" s="55"/>
      <c r="T58" s="132">
        <v>0.5</v>
      </c>
      <c r="U58" s="47">
        <f t="shared" si="18"/>
        <v>0</v>
      </c>
      <c r="V58" s="54">
        <f t="shared" si="16"/>
        <v>0</v>
      </c>
    </row>
    <row r="59" spans="1:22" ht="12.75">
      <c r="A59" s="45" t="s">
        <v>41</v>
      </c>
      <c r="B59" s="122">
        <v>0</v>
      </c>
      <c r="C59" s="46">
        <f t="shared" si="10"/>
        <v>0</v>
      </c>
      <c r="D59" s="47">
        <f t="shared" si="11"/>
        <v>0</v>
      </c>
      <c r="E59" s="47">
        <f t="shared" si="17"/>
        <v>0</v>
      </c>
      <c r="F59" s="48">
        <f t="shared" si="12"/>
        <v>0</v>
      </c>
      <c r="G59" s="48"/>
      <c r="H59" s="49">
        <f t="shared" si="13"/>
        <v>0</v>
      </c>
      <c r="I59" s="50">
        <f t="shared" si="14"/>
        <v>0</v>
      </c>
      <c r="J59" s="51">
        <f t="shared" si="15"/>
        <v>0</v>
      </c>
      <c r="K59" s="123">
        <v>0.92</v>
      </c>
      <c r="L59" s="124">
        <v>0.428</v>
      </c>
      <c r="M59" s="130"/>
      <c r="N59" s="126">
        <v>3.6</v>
      </c>
      <c r="O59" s="125">
        <v>0.13</v>
      </c>
      <c r="P59" s="124">
        <v>0.188</v>
      </c>
      <c r="Q59" s="131">
        <v>590</v>
      </c>
      <c r="R59" s="56"/>
      <c r="S59" s="57"/>
      <c r="T59" s="132">
        <v>0.9</v>
      </c>
      <c r="U59" s="47">
        <f t="shared" si="18"/>
        <v>0</v>
      </c>
      <c r="V59" s="54">
        <f t="shared" si="16"/>
        <v>0</v>
      </c>
    </row>
    <row r="60" spans="1:22" ht="12.75">
      <c r="A60" s="45" t="s">
        <v>57</v>
      </c>
      <c r="B60" s="122">
        <v>2</v>
      </c>
      <c r="C60" s="46">
        <f t="shared" si="10"/>
        <v>0.09858997314234556</v>
      </c>
      <c r="D60" s="47">
        <f t="shared" si="11"/>
        <v>1.762</v>
      </c>
      <c r="E60" s="47">
        <f t="shared" si="17"/>
        <v>2.9432448</v>
      </c>
      <c r="F60" s="48">
        <f t="shared" si="12"/>
        <v>0.28192</v>
      </c>
      <c r="G60" s="48"/>
      <c r="H60" s="49">
        <f t="shared" si="13"/>
        <v>0.06290040286481646</v>
      </c>
      <c r="I60" s="50">
        <f t="shared" si="14"/>
        <v>0</v>
      </c>
      <c r="J60" s="51">
        <f t="shared" si="15"/>
        <v>0.2</v>
      </c>
      <c r="K60" s="123">
        <v>0.881</v>
      </c>
      <c r="L60" s="124">
        <v>0.16</v>
      </c>
      <c r="M60" s="125">
        <v>0.464</v>
      </c>
      <c r="N60" s="126">
        <f>3.6*M60</f>
        <v>1.6704</v>
      </c>
      <c r="O60" s="125">
        <v>0.638</v>
      </c>
      <c r="P60" s="125"/>
      <c r="Q60" s="127">
        <v>100</v>
      </c>
      <c r="R60" s="52">
        <v>4</v>
      </c>
      <c r="S60" s="53">
        <f>+R60*600</f>
        <v>2400</v>
      </c>
      <c r="T60" s="132">
        <v>0.9</v>
      </c>
      <c r="U60" s="47">
        <f t="shared" si="18"/>
        <v>1.9577777777777778</v>
      </c>
      <c r="V60" s="54">
        <f t="shared" si="16"/>
        <v>131.17111111111112</v>
      </c>
    </row>
    <row r="61" spans="1:22" ht="12.75">
      <c r="A61" s="45" t="s">
        <v>42</v>
      </c>
      <c r="B61" s="122">
        <v>0</v>
      </c>
      <c r="C61" s="46">
        <f t="shared" si="10"/>
        <v>0</v>
      </c>
      <c r="D61" s="47">
        <f t="shared" si="11"/>
        <v>0</v>
      </c>
      <c r="E61" s="47">
        <f t="shared" si="17"/>
        <v>0</v>
      </c>
      <c r="F61" s="48">
        <f t="shared" si="12"/>
        <v>0</v>
      </c>
      <c r="G61" s="48"/>
      <c r="H61" s="49">
        <f t="shared" si="13"/>
        <v>0</v>
      </c>
      <c r="I61" s="50">
        <f t="shared" si="14"/>
        <v>0</v>
      </c>
      <c r="J61" s="51">
        <f t="shared" si="15"/>
        <v>0</v>
      </c>
      <c r="K61" s="123">
        <v>0.885</v>
      </c>
      <c r="L61" s="124">
        <v>0.097</v>
      </c>
      <c r="M61" s="125">
        <v>0.541</v>
      </c>
      <c r="N61" s="126">
        <f>3.6*M61</f>
        <v>1.9476000000000002</v>
      </c>
      <c r="O61" s="125">
        <v>0.711</v>
      </c>
      <c r="P61" s="125"/>
      <c r="Q61" s="127">
        <v>150</v>
      </c>
      <c r="R61" s="52">
        <v>36</v>
      </c>
      <c r="S61" s="53">
        <f>+R61*600</f>
        <v>21600</v>
      </c>
      <c r="T61" s="132">
        <v>0.9</v>
      </c>
      <c r="U61" s="47">
        <f t="shared" si="18"/>
        <v>0</v>
      </c>
      <c r="V61" s="54">
        <f t="shared" si="16"/>
        <v>0</v>
      </c>
    </row>
    <row r="62" spans="1:22" ht="12.75">
      <c r="A62" s="45" t="s">
        <v>43</v>
      </c>
      <c r="B62" s="122">
        <v>0</v>
      </c>
      <c r="C62" s="46">
        <f t="shared" si="10"/>
        <v>0</v>
      </c>
      <c r="D62" s="47">
        <f t="shared" si="11"/>
        <v>0</v>
      </c>
      <c r="E62" s="47">
        <f t="shared" si="17"/>
        <v>0</v>
      </c>
      <c r="F62" s="48">
        <f t="shared" si="12"/>
        <v>0</v>
      </c>
      <c r="G62" s="48"/>
      <c r="H62" s="49">
        <f t="shared" si="13"/>
        <v>0</v>
      </c>
      <c r="I62" s="50">
        <f t="shared" si="14"/>
        <v>0</v>
      </c>
      <c r="J62" s="51">
        <f t="shared" si="15"/>
        <v>0</v>
      </c>
      <c r="K62" s="123">
        <v>0.888</v>
      </c>
      <c r="L62" s="124">
        <v>0.056</v>
      </c>
      <c r="M62" s="125">
        <v>0.35</v>
      </c>
      <c r="N62" s="126">
        <f>3.6*M62</f>
        <v>1.26</v>
      </c>
      <c r="O62" s="125">
        <v>0.746</v>
      </c>
      <c r="P62" s="125"/>
      <c r="Q62" s="127">
        <v>100</v>
      </c>
      <c r="R62" s="52">
        <v>42</v>
      </c>
      <c r="S62" s="53">
        <f>+R62*600</f>
        <v>25200</v>
      </c>
      <c r="T62" s="132">
        <v>0.9</v>
      </c>
      <c r="U62" s="47">
        <f t="shared" si="18"/>
        <v>0</v>
      </c>
      <c r="V62" s="54">
        <f t="shared" si="16"/>
        <v>0</v>
      </c>
    </row>
    <row r="63" spans="1:22" ht="12.75">
      <c r="A63" s="45" t="s">
        <v>44</v>
      </c>
      <c r="B63" s="122">
        <v>0</v>
      </c>
      <c r="C63" s="46">
        <f t="shared" si="10"/>
        <v>0</v>
      </c>
      <c r="D63" s="47">
        <f t="shared" si="11"/>
        <v>0</v>
      </c>
      <c r="E63" s="47">
        <f aca="true" t="shared" si="19" ref="E63:E70">D63*N63</f>
        <v>0</v>
      </c>
      <c r="F63" s="48">
        <f t="shared" si="12"/>
        <v>0</v>
      </c>
      <c r="G63" s="48"/>
      <c r="H63" s="49">
        <f t="shared" si="13"/>
        <v>0</v>
      </c>
      <c r="I63" s="50">
        <f t="shared" si="14"/>
        <v>0</v>
      </c>
      <c r="J63" s="51">
        <f t="shared" si="15"/>
        <v>0</v>
      </c>
      <c r="K63" s="123">
        <v>0.85</v>
      </c>
      <c r="L63" s="124">
        <v>0.05</v>
      </c>
      <c r="M63" s="125">
        <v>0.4</v>
      </c>
      <c r="N63" s="126">
        <f>3.6*M63</f>
        <v>1.4400000000000002</v>
      </c>
      <c r="O63" s="125">
        <v>0.69</v>
      </c>
      <c r="P63" s="125"/>
      <c r="Q63" s="127"/>
      <c r="R63" s="52">
        <v>42</v>
      </c>
      <c r="S63" s="53">
        <f>+R63*600</f>
        <v>25200</v>
      </c>
      <c r="T63" s="132">
        <v>0.9</v>
      </c>
      <c r="U63" s="47">
        <f aca="true" t="shared" si="20" ref="U63:U70">D63/T63</f>
        <v>0</v>
      </c>
      <c r="V63" s="54">
        <f t="shared" si="16"/>
        <v>0</v>
      </c>
    </row>
    <row r="64" spans="1:22" ht="12.75">
      <c r="A64" s="45" t="s">
        <v>45</v>
      </c>
      <c r="B64" s="122">
        <v>0</v>
      </c>
      <c r="C64" s="46">
        <f t="shared" si="10"/>
        <v>0</v>
      </c>
      <c r="D64" s="47">
        <f t="shared" si="11"/>
        <v>0</v>
      </c>
      <c r="E64" s="47">
        <f t="shared" si="19"/>
        <v>0</v>
      </c>
      <c r="F64" s="48">
        <f t="shared" si="12"/>
        <v>0</v>
      </c>
      <c r="G64" s="48"/>
      <c r="H64" s="49">
        <f t="shared" si="13"/>
        <v>0</v>
      </c>
      <c r="I64" s="50">
        <f t="shared" si="14"/>
        <v>0</v>
      </c>
      <c r="J64" s="51">
        <f t="shared" si="15"/>
        <v>0</v>
      </c>
      <c r="K64" s="123">
        <v>0.92</v>
      </c>
      <c r="L64" s="124">
        <v>0.226</v>
      </c>
      <c r="M64" s="125"/>
      <c r="N64" s="126">
        <v>3.8</v>
      </c>
      <c r="O64" s="125">
        <v>0.44</v>
      </c>
      <c r="P64" s="124">
        <v>0.183</v>
      </c>
      <c r="Q64" s="127">
        <v>300</v>
      </c>
      <c r="R64" s="52"/>
      <c r="S64" s="53"/>
      <c r="T64" s="132">
        <v>0.9</v>
      </c>
      <c r="U64" s="47">
        <f t="shared" si="20"/>
        <v>0</v>
      </c>
      <c r="V64" s="54">
        <f t="shared" si="16"/>
        <v>0</v>
      </c>
    </row>
    <row r="65" spans="1:22" ht="12.75">
      <c r="A65" s="45" t="s">
        <v>46</v>
      </c>
      <c r="B65" s="122">
        <v>0</v>
      </c>
      <c r="C65" s="46">
        <f t="shared" si="10"/>
        <v>0</v>
      </c>
      <c r="D65" s="47">
        <f t="shared" si="11"/>
        <v>0</v>
      </c>
      <c r="E65" s="47">
        <f t="shared" si="19"/>
        <v>0</v>
      </c>
      <c r="F65" s="48">
        <f t="shared" si="12"/>
        <v>0</v>
      </c>
      <c r="G65" s="48"/>
      <c r="H65" s="49">
        <f t="shared" si="13"/>
        <v>0</v>
      </c>
      <c r="I65" s="50">
        <f t="shared" si="14"/>
        <v>0</v>
      </c>
      <c r="J65" s="51">
        <f t="shared" si="15"/>
        <v>0</v>
      </c>
      <c r="K65" s="123">
        <v>0.216</v>
      </c>
      <c r="L65" s="124">
        <v>0.218</v>
      </c>
      <c r="M65" s="125">
        <v>0.625</v>
      </c>
      <c r="N65" s="126">
        <f>3.6*M65</f>
        <v>2.25</v>
      </c>
      <c r="O65" s="125">
        <v>0.446</v>
      </c>
      <c r="P65" s="125"/>
      <c r="Q65" s="127"/>
      <c r="R65" s="52"/>
      <c r="S65" s="53"/>
      <c r="T65" s="132">
        <v>0.85</v>
      </c>
      <c r="U65" s="47">
        <f t="shared" si="20"/>
        <v>0</v>
      </c>
      <c r="V65" s="54">
        <f t="shared" si="16"/>
        <v>0</v>
      </c>
    </row>
    <row r="66" spans="1:22" ht="12.75">
      <c r="A66" s="45" t="s">
        <v>47</v>
      </c>
      <c r="B66" s="122">
        <v>0</v>
      </c>
      <c r="C66" s="46">
        <f t="shared" si="10"/>
        <v>0</v>
      </c>
      <c r="D66" s="47">
        <f t="shared" si="11"/>
        <v>0</v>
      </c>
      <c r="E66" s="47">
        <f t="shared" si="19"/>
        <v>0</v>
      </c>
      <c r="F66" s="48">
        <f t="shared" si="12"/>
        <v>0</v>
      </c>
      <c r="G66" s="48"/>
      <c r="H66" s="49">
        <f t="shared" si="13"/>
        <v>0</v>
      </c>
      <c r="I66" s="50">
        <f t="shared" si="14"/>
        <v>0</v>
      </c>
      <c r="J66" s="51">
        <f t="shared" si="15"/>
        <v>0</v>
      </c>
      <c r="K66" s="123">
        <v>0.31</v>
      </c>
      <c r="L66" s="124">
        <v>0.079</v>
      </c>
      <c r="M66" s="125">
        <v>0.584</v>
      </c>
      <c r="N66" s="126">
        <f>3.6*M66</f>
        <v>2.1024</v>
      </c>
      <c r="O66" s="125">
        <v>0.524</v>
      </c>
      <c r="P66" s="125"/>
      <c r="Q66" s="127"/>
      <c r="R66" s="52"/>
      <c r="S66" s="53"/>
      <c r="T66" s="132">
        <v>0.8</v>
      </c>
      <c r="U66" s="47">
        <f t="shared" si="20"/>
        <v>0</v>
      </c>
      <c r="V66" s="54">
        <f t="shared" si="16"/>
        <v>0</v>
      </c>
    </row>
    <row r="67" spans="1:22" ht="12.75">
      <c r="A67" s="45" t="s">
        <v>48</v>
      </c>
      <c r="B67" s="122">
        <v>0</v>
      </c>
      <c r="C67" s="46">
        <f t="shared" si="10"/>
        <v>0</v>
      </c>
      <c r="D67" s="47">
        <f t="shared" si="11"/>
        <v>0</v>
      </c>
      <c r="E67" s="47">
        <f t="shared" si="19"/>
        <v>0</v>
      </c>
      <c r="F67" s="48">
        <f t="shared" si="12"/>
        <v>0</v>
      </c>
      <c r="G67" s="48"/>
      <c r="H67" s="49">
        <f t="shared" si="13"/>
        <v>0</v>
      </c>
      <c r="I67" s="50">
        <f t="shared" si="14"/>
        <v>0</v>
      </c>
      <c r="J67" s="51">
        <f t="shared" si="15"/>
        <v>0</v>
      </c>
      <c r="K67" s="123">
        <v>0.2</v>
      </c>
      <c r="L67" s="124">
        <v>0.169</v>
      </c>
      <c r="M67" s="125">
        <v>0.75</v>
      </c>
      <c r="N67" s="126">
        <f>3.6*M67</f>
        <v>2.7</v>
      </c>
      <c r="O67" s="125"/>
      <c r="P67" s="125"/>
      <c r="Q67" s="127"/>
      <c r="R67" s="52">
        <v>19</v>
      </c>
      <c r="S67" s="53">
        <f>+R67*3500</f>
        <v>66500</v>
      </c>
      <c r="T67" s="132">
        <v>0.7</v>
      </c>
      <c r="U67" s="47">
        <f t="shared" si="20"/>
        <v>0</v>
      </c>
      <c r="V67" s="54">
        <f t="shared" si="16"/>
        <v>0</v>
      </c>
    </row>
    <row r="68" spans="1:22" ht="12.75">
      <c r="A68" s="45" t="s">
        <v>58</v>
      </c>
      <c r="B68" s="122">
        <v>27</v>
      </c>
      <c r="C68" s="46">
        <f t="shared" si="10"/>
        <v>0.30214861235452106</v>
      </c>
      <c r="D68" s="47">
        <f t="shared" si="11"/>
        <v>5.4</v>
      </c>
      <c r="E68" s="47">
        <f t="shared" si="19"/>
        <v>12.636000000000003</v>
      </c>
      <c r="F68" s="48">
        <f t="shared" si="12"/>
        <v>1.4040000000000001</v>
      </c>
      <c r="G68" s="48"/>
      <c r="H68" s="49">
        <f t="shared" si="13"/>
        <v>0.1389883616830797</v>
      </c>
      <c r="I68" s="50">
        <f t="shared" si="14"/>
        <v>0</v>
      </c>
      <c r="J68" s="51">
        <f t="shared" si="15"/>
        <v>2.16</v>
      </c>
      <c r="K68" s="123">
        <v>0.2</v>
      </c>
      <c r="L68" s="124">
        <v>0.26</v>
      </c>
      <c r="M68" s="125">
        <v>0.65</v>
      </c>
      <c r="N68" s="126">
        <f>3.6*M68</f>
        <v>2.3400000000000003</v>
      </c>
      <c r="O68" s="125">
        <v>0.46</v>
      </c>
      <c r="P68" s="125"/>
      <c r="Q68" s="127">
        <v>80</v>
      </c>
      <c r="R68" s="52"/>
      <c r="S68" s="53"/>
      <c r="T68" s="132">
        <v>0.8</v>
      </c>
      <c r="U68" s="47">
        <f t="shared" si="20"/>
        <v>6.75</v>
      </c>
      <c r="V68" s="54">
        <f t="shared" si="16"/>
        <v>452.25</v>
      </c>
    </row>
    <row r="69" spans="1:22" ht="12.75">
      <c r="A69" s="45" t="s">
        <v>59</v>
      </c>
      <c r="B69" s="122">
        <v>1</v>
      </c>
      <c r="C69" s="46">
        <f t="shared" si="10"/>
        <v>0.05035810205908684</v>
      </c>
      <c r="D69" s="47">
        <f t="shared" si="11"/>
        <v>0.9</v>
      </c>
      <c r="E69" s="47">
        <f t="shared" si="19"/>
        <v>2.6550000000000002</v>
      </c>
      <c r="F69" s="48">
        <f t="shared" si="12"/>
        <v>0.324</v>
      </c>
      <c r="G69" s="48"/>
      <c r="H69" s="49">
        <f t="shared" si="13"/>
        <v>0.01848142345568487</v>
      </c>
      <c r="I69" s="50">
        <f t="shared" si="14"/>
        <v>0.0038171441360787825</v>
      </c>
      <c r="J69" s="51">
        <f t="shared" si="15"/>
        <v>1</v>
      </c>
      <c r="K69" s="123">
        <v>0.9</v>
      </c>
      <c r="L69" s="124">
        <v>0.36</v>
      </c>
      <c r="M69" s="125"/>
      <c r="N69" s="126">
        <v>2.95</v>
      </c>
      <c r="O69" s="125">
        <v>0.367</v>
      </c>
      <c r="P69" s="125">
        <v>0.0758</v>
      </c>
      <c r="Q69" s="127">
        <v>1000</v>
      </c>
      <c r="R69" s="52"/>
      <c r="S69" s="53"/>
      <c r="T69" s="132">
        <v>0.8</v>
      </c>
      <c r="U69" s="47">
        <f t="shared" si="20"/>
        <v>1.125</v>
      </c>
      <c r="V69" s="54">
        <f t="shared" si="16"/>
        <v>75.375</v>
      </c>
    </row>
    <row r="70" spans="1:22" ht="12.75">
      <c r="A70" s="45" t="s">
        <v>49</v>
      </c>
      <c r="B70" s="122">
        <v>0</v>
      </c>
      <c r="C70" s="46">
        <f t="shared" si="10"/>
        <v>0</v>
      </c>
      <c r="D70" s="47">
        <f t="shared" si="11"/>
        <v>0</v>
      </c>
      <c r="E70" s="47">
        <f t="shared" si="19"/>
        <v>0</v>
      </c>
      <c r="F70" s="48">
        <f t="shared" si="12"/>
        <v>0</v>
      </c>
      <c r="G70" s="48"/>
      <c r="H70" s="49">
        <f t="shared" si="13"/>
        <v>0</v>
      </c>
      <c r="I70" s="50">
        <f t="shared" si="14"/>
        <v>0</v>
      </c>
      <c r="J70" s="51">
        <f t="shared" si="15"/>
        <v>0</v>
      </c>
      <c r="K70" s="123">
        <v>0.3</v>
      </c>
      <c r="L70" s="124">
        <v>0.07</v>
      </c>
      <c r="M70" s="125">
        <v>0.55</v>
      </c>
      <c r="N70" s="126">
        <v>1.9</v>
      </c>
      <c r="O70" s="125">
        <v>0.69</v>
      </c>
      <c r="P70" s="125">
        <v>0.022</v>
      </c>
      <c r="Q70" s="127"/>
      <c r="R70" s="52">
        <v>6.6</v>
      </c>
      <c r="S70" s="53">
        <v>40000</v>
      </c>
      <c r="T70" s="132">
        <v>0.4</v>
      </c>
      <c r="U70" s="47">
        <f t="shared" si="20"/>
        <v>0</v>
      </c>
      <c r="V70" s="54">
        <f t="shared" si="16"/>
        <v>0</v>
      </c>
    </row>
    <row r="71" spans="1:22" ht="12.75">
      <c r="A71" s="58" t="s">
        <v>50</v>
      </c>
      <c r="B71" s="59">
        <f>SUM(B53:B70)</f>
        <v>39</v>
      </c>
      <c r="C71" s="60"/>
      <c r="D71" s="61">
        <f>SUM(D53:D70)</f>
        <v>16.022000000000002</v>
      </c>
      <c r="E71" s="61">
        <f>SUM(E53:E70)</f>
        <v>43.445444800000004</v>
      </c>
      <c r="F71" s="62">
        <f>SUM(F53:F70)</f>
        <v>3.01836</v>
      </c>
      <c r="G71" s="62"/>
      <c r="H71" s="24">
        <f>SUM(H53:H70)</f>
        <v>0.28654297224709047</v>
      </c>
      <c r="I71" s="63">
        <f>SUM(I53:I70)</f>
        <v>0.022572739480752016</v>
      </c>
      <c r="J71" s="64">
        <f>SUM(J53:J70)</f>
        <v>6.28</v>
      </c>
      <c r="K71" s="65"/>
      <c r="L71" s="66"/>
      <c r="M71" s="66"/>
      <c r="N71" s="66"/>
      <c r="O71" s="66"/>
      <c r="P71" s="66"/>
      <c r="Q71" s="67"/>
      <c r="R71" s="65"/>
      <c r="S71" s="67"/>
      <c r="T71" s="65"/>
      <c r="U71" s="61">
        <f>SUM(U53:U70)</f>
        <v>19.495</v>
      </c>
      <c r="V71" s="68"/>
    </row>
    <row r="74" spans="3:22" ht="12.75">
      <c r="C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</row>
    <row r="75" spans="3:22" ht="12.75">
      <c r="C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</row>
    <row r="76" spans="3:22" ht="12.75">
      <c r="C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</row>
    <row r="77" spans="3:22" ht="12.75">
      <c r="C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</row>
  </sheetData>
  <sheetProtection password="836F" sheet="1" objects="1" scenarios="1"/>
  <mergeCells count="20">
    <mergeCell ref="R18:S18"/>
    <mergeCell ref="T18:V18"/>
    <mergeCell ref="H13:J13"/>
    <mergeCell ref="A18:A19"/>
    <mergeCell ref="B18:J18"/>
    <mergeCell ref="K18:Q18"/>
    <mergeCell ref="H9:J9"/>
    <mergeCell ref="H10:J10"/>
    <mergeCell ref="H11:J11"/>
    <mergeCell ref="H12:J12"/>
    <mergeCell ref="A51:A52"/>
    <mergeCell ref="B51:J51"/>
    <mergeCell ref="H42:J42"/>
    <mergeCell ref="H43:J43"/>
    <mergeCell ref="H44:J44"/>
    <mergeCell ref="K51:Q51"/>
    <mergeCell ref="R51:S51"/>
    <mergeCell ref="T51:V51"/>
    <mergeCell ref="H45:J45"/>
    <mergeCell ref="H46:J46"/>
  </mergeCells>
  <conditionalFormatting sqref="L12:M12 L45:M45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K12 K45">
    <cfRule type="cellIs" priority="3" dxfId="0" operator="lessThan" stopIfTrue="1">
      <formula>0</formula>
    </cfRule>
    <cfRule type="cellIs" priority="4" dxfId="1" operator="greaterThan" stopIfTrue="1">
      <formula>0</formula>
    </cfRule>
  </conditionalFormatting>
  <conditionalFormatting sqref="H38 H71">
    <cfRule type="cellIs" priority="5" dxfId="1" operator="greaterThanOrEqual" stopIfTrue="1">
      <formula>0.5</formula>
    </cfRule>
    <cfRule type="cellIs" priority="6" dxfId="1" operator="lessThanOrEqual" stopIfTrue="1">
      <formula>0.3</formula>
    </cfRule>
  </conditionalFormatting>
  <conditionalFormatting sqref="B20:B25 B27:B37 B53:B58 B60:B70">
    <cfRule type="cellIs" priority="7" dxfId="2" operator="notEqual" stopIfTrue="1">
      <formula>0</formula>
    </cfRule>
  </conditionalFormatting>
  <conditionalFormatting sqref="C21 D20:J21 C22:J37 U20:V37 C54 D53:J54 C55:J70 U53:V70">
    <cfRule type="cellIs" priority="8" dxfId="3" operator="notEqual" stopIfTrue="1">
      <formula>0</formula>
    </cfRule>
  </conditionalFormatting>
  <conditionalFormatting sqref="C20 C53">
    <cfRule type="cellIs" priority="9" dxfId="1" operator="greaterThan" stopIfTrue="1">
      <formula>0.25</formula>
    </cfRule>
  </conditionalFormatting>
  <conditionalFormatting sqref="B26 B59">
    <cfRule type="cellIs" priority="10" dxfId="1" operator="greaterThan" stopIfTrue="1">
      <formula>3</formula>
    </cfRule>
    <cfRule type="cellIs" priority="11" dxfId="3" operator="not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DGrenón</cp:lastModifiedBy>
  <dcterms:created xsi:type="dcterms:W3CDTF">2008-12-16T22:48:33Z</dcterms:created>
  <dcterms:modified xsi:type="dcterms:W3CDTF">2009-11-18T18:01:24Z</dcterms:modified>
  <cp:category/>
  <cp:version/>
  <cp:contentType/>
  <cp:contentStatus/>
</cp:coreProperties>
</file>